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лот1!$A:$G</definedName>
    <definedName name="_xlnm.Print_Area" localSheetId="0">лот1!$A$1:$AH$35</definedName>
  </definedNames>
  <calcPr calcId="125725"/>
</workbook>
</file>

<file path=xl/calcChain.xml><?xml version="1.0" encoding="utf-8"?>
<calcChain xmlns="http://schemas.openxmlformats.org/spreadsheetml/2006/main">
  <c r="AI34" i="3"/>
  <c r="AH33"/>
  <c r="AH32"/>
  <c r="AH31"/>
  <c r="AH30"/>
  <c r="AH29"/>
  <c r="AH28"/>
  <c r="AG28"/>
  <c r="AH27"/>
  <c r="AH26"/>
  <c r="AH25"/>
  <c r="AH24"/>
  <c r="AH23"/>
  <c r="AH22" s="1"/>
  <c r="AG22"/>
  <c r="AH21"/>
  <c r="AH20"/>
  <c r="AH19"/>
  <c r="AH18"/>
  <c r="AH17"/>
  <c r="AH16"/>
  <c r="AH15"/>
  <c r="AH14" s="1"/>
  <c r="AG14"/>
  <c r="AG36" s="1"/>
  <c r="AG9"/>
  <c r="AH34" l="1"/>
  <c r="AH36" s="1"/>
  <c r="AF33" l="1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34" s="1"/>
  <c r="AF36" s="1"/>
  <c r="AE33"/>
  <c r="AD33"/>
  <c r="AC33"/>
  <c r="AB33"/>
  <c r="AA33"/>
  <c r="AE32"/>
  <c r="AD32"/>
  <c r="AC32"/>
  <c r="AB32"/>
  <c r="AA32"/>
  <c r="AE31"/>
  <c r="AD31"/>
  <c r="AC31"/>
  <c r="AB31"/>
  <c r="AA31"/>
  <c r="AE30"/>
  <c r="AD30"/>
  <c r="AC30"/>
  <c r="AB30"/>
  <c r="AA30"/>
  <c r="AE29"/>
  <c r="AE28" s="1"/>
  <c r="AD29"/>
  <c r="AC29"/>
  <c r="AC28" s="1"/>
  <c r="AB29"/>
  <c r="AA29"/>
  <c r="AA28" s="1"/>
  <c r="AD28"/>
  <c r="AB28"/>
  <c r="AE27"/>
  <c r="AD27"/>
  <c r="AC27"/>
  <c r="AB27"/>
  <c r="AA27"/>
  <c r="AE26"/>
  <c r="AD26"/>
  <c r="AC26"/>
  <c r="AB26"/>
  <c r="AA26"/>
  <c r="AE25"/>
  <c r="AD25"/>
  <c r="AC25"/>
  <c r="AB25"/>
  <c r="AA25"/>
  <c r="AE24"/>
  <c r="AD24"/>
  <c r="AC24"/>
  <c r="AB24"/>
  <c r="AA24"/>
  <c r="AE23"/>
  <c r="AD23"/>
  <c r="AC23"/>
  <c r="AB23"/>
  <c r="AB22" s="1"/>
  <c r="AA23"/>
  <c r="AE22"/>
  <c r="AD22"/>
  <c r="AC22"/>
  <c r="AA22"/>
  <c r="AE21"/>
  <c r="AD21"/>
  <c r="AC21"/>
  <c r="AB21"/>
  <c r="AA21"/>
  <c r="AE20"/>
  <c r="AD20"/>
  <c r="AC20"/>
  <c r="AB20"/>
  <c r="AA20"/>
  <c r="AE19"/>
  <c r="AD19"/>
  <c r="AC19"/>
  <c r="AB19"/>
  <c r="AA19"/>
  <c r="AE18"/>
  <c r="AD18"/>
  <c r="AC18"/>
  <c r="AB18"/>
  <c r="AA18"/>
  <c r="AE17"/>
  <c r="AD17"/>
  <c r="AC17"/>
  <c r="AB17"/>
  <c r="AA17"/>
  <c r="AE16"/>
  <c r="AD16"/>
  <c r="AC16"/>
  <c r="AB16"/>
  <c r="AA16"/>
  <c r="AE15"/>
  <c r="AE14" s="1"/>
  <c r="AE34" s="1"/>
  <c r="AE36" s="1"/>
  <c r="AD15"/>
  <c r="AD14" s="1"/>
  <c r="AD34" s="1"/>
  <c r="AD36" s="1"/>
  <c r="AC15"/>
  <c r="AC14" s="1"/>
  <c r="AC34" s="1"/>
  <c r="AC36" s="1"/>
  <c r="AB15"/>
  <c r="AB14" s="1"/>
  <c r="AB34" s="1"/>
  <c r="AB36" s="1"/>
  <c r="AA15"/>
  <c r="AA14"/>
  <c r="AA34" s="1"/>
  <c r="AA36" s="1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34" s="1"/>
  <c r="Z36" s="1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34" s="1"/>
  <c r="Y36" s="1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34" s="1"/>
  <c r="X36" s="1"/>
  <c r="W33"/>
  <c r="W32"/>
  <c r="W31"/>
  <c r="W30"/>
  <c r="W29"/>
  <c r="W28" s="1"/>
  <c r="W27"/>
  <c r="W26"/>
  <c r="W25"/>
  <c r="W24"/>
  <c r="W23"/>
  <c r="W21"/>
  <c r="W20"/>
  <c r="W19"/>
  <c r="W18"/>
  <c r="W17"/>
  <c r="W16"/>
  <c r="W15"/>
  <c r="W14" s="1"/>
  <c r="V33"/>
  <c r="V32"/>
  <c r="V31"/>
  <c r="U31"/>
  <c r="V30"/>
  <c r="V29"/>
  <c r="V28"/>
  <c r="U28"/>
  <c r="V27"/>
  <c r="V26"/>
  <c r="V25"/>
  <c r="V24"/>
  <c r="V23"/>
  <c r="V22" s="1"/>
  <c r="U22"/>
  <c r="V21"/>
  <c r="V20"/>
  <c r="V19"/>
  <c r="V18"/>
  <c r="V17"/>
  <c r="V16"/>
  <c r="V15"/>
  <c r="U14"/>
  <c r="U36" s="1"/>
  <c r="U9"/>
  <c r="P9"/>
  <c r="T33"/>
  <c r="S33"/>
  <c r="R33"/>
  <c r="Q33"/>
  <c r="T32"/>
  <c r="S32"/>
  <c r="R32"/>
  <c r="Q32"/>
  <c r="T31"/>
  <c r="S31"/>
  <c r="R31"/>
  <c r="Q31"/>
  <c r="T30"/>
  <c r="S30"/>
  <c r="R30"/>
  <c r="Q30"/>
  <c r="T29"/>
  <c r="S29"/>
  <c r="R29"/>
  <c r="Q29"/>
  <c r="T28"/>
  <c r="S28"/>
  <c r="R28"/>
  <c r="Q28"/>
  <c r="T27"/>
  <c r="S27"/>
  <c r="R27"/>
  <c r="Q27"/>
  <c r="T26"/>
  <c r="S26"/>
  <c r="R26"/>
  <c r="Q26"/>
  <c r="T25"/>
  <c r="S25"/>
  <c r="R25"/>
  <c r="Q25"/>
  <c r="T24"/>
  <c r="S24"/>
  <c r="R24"/>
  <c r="Q24"/>
  <c r="T23"/>
  <c r="S23"/>
  <c r="R23"/>
  <c r="Q23"/>
  <c r="Q22" s="1"/>
  <c r="T22"/>
  <c r="S22"/>
  <c r="R22"/>
  <c r="T21"/>
  <c r="S21"/>
  <c r="R21"/>
  <c r="Q21"/>
  <c r="T20"/>
  <c r="S20"/>
  <c r="R20"/>
  <c r="Q20"/>
  <c r="T19"/>
  <c r="S19"/>
  <c r="R19"/>
  <c r="Q19"/>
  <c r="T18"/>
  <c r="S18"/>
  <c r="R18"/>
  <c r="Q18"/>
  <c r="T17"/>
  <c r="S17"/>
  <c r="R17"/>
  <c r="Q17"/>
  <c r="T16"/>
  <c r="S16"/>
  <c r="R16"/>
  <c r="Q16"/>
  <c r="T15"/>
  <c r="S15"/>
  <c r="R15"/>
  <c r="Q15"/>
  <c r="T14"/>
  <c r="S14"/>
  <c r="R14"/>
  <c r="Q14"/>
  <c r="T9"/>
  <c r="S9"/>
  <c r="R9"/>
  <c r="Q9"/>
  <c r="P33"/>
  <c r="O33"/>
  <c r="N33"/>
  <c r="M33"/>
  <c r="P32"/>
  <c r="O32"/>
  <c r="N32"/>
  <c r="M32"/>
  <c r="P31"/>
  <c r="O31"/>
  <c r="N31"/>
  <c r="M31"/>
  <c r="P30"/>
  <c r="O30"/>
  <c r="N30"/>
  <c r="M30"/>
  <c r="P29"/>
  <c r="O29"/>
  <c r="N29"/>
  <c r="M29"/>
  <c r="P28"/>
  <c r="O28"/>
  <c r="N28"/>
  <c r="M28"/>
  <c r="P27"/>
  <c r="O27"/>
  <c r="N27"/>
  <c r="M27"/>
  <c r="P26"/>
  <c r="O26"/>
  <c r="N26"/>
  <c r="M26"/>
  <c r="P25"/>
  <c r="O25"/>
  <c r="N25"/>
  <c r="M25"/>
  <c r="P24"/>
  <c r="O24"/>
  <c r="N24"/>
  <c r="M24"/>
  <c r="P23"/>
  <c r="P22" s="1"/>
  <c r="O23"/>
  <c r="O22" s="1"/>
  <c r="N23"/>
  <c r="M23"/>
  <c r="N22"/>
  <c r="M22"/>
  <c r="P21"/>
  <c r="O21"/>
  <c r="N21"/>
  <c r="M21"/>
  <c r="P20"/>
  <c r="O20"/>
  <c r="N20"/>
  <c r="M20"/>
  <c r="P19"/>
  <c r="O19"/>
  <c r="N19"/>
  <c r="M19"/>
  <c r="P18"/>
  <c r="O18"/>
  <c r="N18"/>
  <c r="M18"/>
  <c r="P17"/>
  <c r="O17"/>
  <c r="N17"/>
  <c r="M17"/>
  <c r="P16"/>
  <c r="O16"/>
  <c r="N16"/>
  <c r="M16"/>
  <c r="P15"/>
  <c r="O15"/>
  <c r="N15"/>
  <c r="N14" s="1"/>
  <c r="N34" s="1"/>
  <c r="N36" s="1"/>
  <c r="M15"/>
  <c r="M14" s="1"/>
  <c r="M34" s="1"/>
  <c r="M36" s="1"/>
  <c r="P14"/>
  <c r="O14"/>
  <c r="O9"/>
  <c r="N9"/>
  <c r="M9"/>
  <c r="W22" l="1"/>
  <c r="W34" s="1"/>
  <c r="W36" s="1"/>
  <c r="V14"/>
  <c r="V34" s="1"/>
  <c r="V36" s="1"/>
  <c r="T34"/>
  <c r="T36" s="1"/>
  <c r="S34"/>
  <c r="S36" s="1"/>
  <c r="R34"/>
  <c r="R36" s="1"/>
  <c r="Q34"/>
  <c r="Q36" s="1"/>
  <c r="P34"/>
  <c r="P36" s="1"/>
  <c r="O34"/>
  <c r="O36" s="1"/>
  <c r="L33" l="1"/>
  <c r="L32"/>
  <c r="L31"/>
  <c r="L30"/>
  <c r="L29"/>
  <c r="L27"/>
  <c r="L26"/>
  <c r="L25"/>
  <c r="L24"/>
  <c r="L23"/>
  <c r="L21"/>
  <c r="L20"/>
  <c r="L19"/>
  <c r="L18"/>
  <c r="L17"/>
  <c r="L16"/>
  <c r="L15"/>
  <c r="L9"/>
  <c r="L14" l="1"/>
  <c r="L28"/>
  <c r="L22"/>
  <c r="K33"/>
  <c r="K32"/>
  <c r="K31"/>
  <c r="K30"/>
  <c r="K29"/>
  <c r="K27"/>
  <c r="K26"/>
  <c r="K25"/>
  <c r="K24"/>
  <c r="K23"/>
  <c r="K21"/>
  <c r="K20"/>
  <c r="K19"/>
  <c r="K18"/>
  <c r="K17"/>
  <c r="K16"/>
  <c r="K15"/>
  <c r="K9"/>
  <c r="J9"/>
  <c r="J33"/>
  <c r="J32"/>
  <c r="J31"/>
  <c r="J30"/>
  <c r="J29"/>
  <c r="J27"/>
  <c r="J26"/>
  <c r="J25"/>
  <c r="J24"/>
  <c r="J23"/>
  <c r="J21"/>
  <c r="J20"/>
  <c r="J19"/>
  <c r="J18"/>
  <c r="J17"/>
  <c r="J16"/>
  <c r="I33"/>
  <c r="I32"/>
  <c r="I31"/>
  <c r="I30"/>
  <c r="I29"/>
  <c r="I27"/>
  <c r="I26"/>
  <c r="I25"/>
  <c r="I24"/>
  <c r="I23"/>
  <c r="I21"/>
  <c r="I20"/>
  <c r="I19"/>
  <c r="I18"/>
  <c r="I17"/>
  <c r="I16"/>
  <c r="J15"/>
  <c r="I15"/>
  <c r="I9"/>
  <c r="L34" l="1"/>
  <c r="L36" s="1"/>
  <c r="K14"/>
  <c r="K28"/>
  <c r="K22"/>
  <c r="J22"/>
  <c r="J14"/>
  <c r="J28"/>
  <c r="H31"/>
  <c r="H14"/>
  <c r="H29"/>
  <c r="H26"/>
  <c r="H27"/>
  <c r="K34" l="1"/>
  <c r="K36" s="1"/>
  <c r="J34"/>
  <c r="J36" s="1"/>
  <c r="I22"/>
  <c r="H28"/>
  <c r="H22"/>
  <c r="H9"/>
  <c r="H36" l="1"/>
  <c r="I28"/>
  <c r="I14" l="1"/>
  <c r="I34" s="1"/>
  <c r="AJ34" s="1"/>
  <c r="I36" l="1"/>
</calcChain>
</file>

<file path=xl/sharedStrings.xml><?xml version="1.0" encoding="utf-8"?>
<sst xmlns="http://schemas.openxmlformats.org/spreadsheetml/2006/main" count="135" uniqueCount="111">
  <si>
    <t>месяцы</t>
  </si>
  <si>
    <t>Площадь жилых помещений</t>
  </si>
  <si>
    <t>Общая годовая стоимость работ по многоквартирным домам</t>
  </si>
  <si>
    <t>раз(а) в год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</si>
  <si>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</si>
  <si>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</si>
  <si>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18. Аварийное обслуживание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</si>
  <si>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</si>
  <si>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</si>
  <si>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</si>
  <si>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</si>
  <si>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раз(а) в неделю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</si>
  <si>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</si>
  <si>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</si>
  <si>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</si>
  <si>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раз(а) в месяц</t>
  </si>
  <si>
    <t>4. Мытье и протирка закрывающих устройств мусоропровода</t>
  </si>
  <si>
    <t>3. Очистка и влажная уборка мусорных камер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</si>
  <si>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</si>
  <si>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</si>
  <si>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</si>
  <si>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</si>
  <si>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</si>
  <si>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</si>
  <si>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</si>
  <si>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</si>
  <si>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</si>
  <si>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 xml:space="preserve">2. Сухая и влажная уборка полов кабины лифта </t>
  </si>
  <si>
    <t xml:space="preserve">13. Выявление деформации и повреждений водоотводящих устройств и оборудования, 
</t>
  </si>
  <si>
    <t xml:space="preserve">14.Контроль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</si>
  <si>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</si>
  <si>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6. Уборка мусора на контейнерных площадках (помойных ям)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</si>
  <si>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</si>
  <si>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</si>
  <si>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</si>
  <si>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</si>
  <si>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>11. Очистка выгребных ям (для деревянных неблагоустроенных зданий)</t>
  </si>
  <si>
    <t>19. Ремонт кровли, крылец, козырьков, деревянных тротуаров</t>
  </si>
  <si>
    <t xml:space="preserve">12. Сезонный осмотр конструкций здания( фасадов, стен, фундаментов, кровли)
</t>
  </si>
  <si>
    <t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внутреннего водостока,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отопления, промывка централизованных систем теплоснабжения для удаления накипно-коррозионных отложений,  удаление воздуха из системы отопления.</t>
  </si>
  <si>
    <t xml:space="preserve">5. Уборка мусора с придомовой территории </t>
  </si>
  <si>
    <t>1 раз(а) в 2 недели</t>
  </si>
  <si>
    <t>2 раз(а) в неделю</t>
  </si>
  <si>
    <t>2 раз(а) в год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</si>
  <si>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</si>
  <si>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</si>
  <si>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деревянный благоустроенный дом с центр отоплением</t>
  </si>
  <si>
    <t>16.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отопления, смена отдельных участков трубопроводов по необходимости.
Заделка щелей в печах, оштукатуривание, прочистка дымохода.</t>
  </si>
  <si>
    <t>3 раз(а) в неделю контейнера (6 раз в год - помойницы)</t>
  </si>
  <si>
    <t xml:space="preserve">Стоимость на 1 кв. м. общей площади (руб./мес.)         (размер платы в месяц на 1 кв. м.)  </t>
  </si>
  <si>
    <t>20. Дератизация</t>
  </si>
  <si>
    <t>21. Дезинсекция</t>
  </si>
  <si>
    <t>5</t>
  </si>
  <si>
    <t>Приложение № 4</t>
  </si>
  <si>
    <t>Лот №1</t>
  </si>
  <si>
    <t>Жилой район Соломбальский тер. округ</t>
  </si>
  <si>
    <t>Кедрова ул.</t>
  </si>
  <si>
    <t>22</t>
  </si>
  <si>
    <t>37</t>
  </si>
  <si>
    <t>41 к.3</t>
  </si>
  <si>
    <t>Красных партизан ул.</t>
  </si>
  <si>
    <t>Маяковского ул.</t>
  </si>
  <si>
    <t>4</t>
  </si>
  <si>
    <t>Полярная ул.</t>
  </si>
  <si>
    <t>Советская ул.</t>
  </si>
  <si>
    <t>71 к1</t>
  </si>
  <si>
    <t>Ярославская ул.</t>
  </si>
  <si>
    <t>45 к.1</t>
  </si>
  <si>
    <t>55</t>
  </si>
  <si>
    <t>83</t>
  </si>
  <si>
    <t>105</t>
  </si>
  <si>
    <t>Гуляева ул.</t>
  </si>
  <si>
    <t>107</t>
  </si>
  <si>
    <t>462,5</t>
  </si>
  <si>
    <t>500,6</t>
  </si>
  <si>
    <t>404,9</t>
  </si>
  <si>
    <t>523,8</t>
  </si>
  <si>
    <t>528,6</t>
  </si>
  <si>
    <t>403,7</t>
  </si>
  <si>
    <t>402</t>
  </si>
  <si>
    <t>337,5</t>
  </si>
  <si>
    <t>500,2</t>
  </si>
  <si>
    <t>699,1</t>
  </si>
  <si>
    <t>596</t>
  </si>
  <si>
    <t>731,7</t>
  </si>
  <si>
    <t>деревянный благоустроенный без центр отопления</t>
  </si>
  <si>
    <t>Адмирала Кузнецова ул.</t>
  </si>
  <si>
    <t>10</t>
  </si>
  <si>
    <t>61 к1</t>
  </si>
  <si>
    <t>73 к1</t>
  </si>
  <si>
    <t>81</t>
  </si>
  <si>
    <t>79</t>
  </si>
  <si>
    <t>116</t>
  </si>
  <si>
    <t>116 к1</t>
  </si>
  <si>
    <t>118</t>
  </si>
  <si>
    <t>120 к1</t>
  </si>
  <si>
    <t>120 к3</t>
  </si>
  <si>
    <t>524,9</t>
  </si>
  <si>
    <t>335,4</t>
  </si>
  <si>
    <t>344,4</t>
  </si>
  <si>
    <t>470,1</t>
  </si>
  <si>
    <t>410</t>
  </si>
  <si>
    <t>523,7</t>
  </si>
  <si>
    <t>661,2</t>
  </si>
  <si>
    <t>297,3</t>
  </si>
  <si>
    <t>379,3</t>
  </si>
  <si>
    <t>499,5</t>
  </si>
  <si>
    <t>516,7</t>
  </si>
  <si>
    <t>деревянный не благоустроенный без канализации и центр отопления (септик) с водой</t>
  </si>
  <si>
    <t>14</t>
  </si>
  <si>
    <t>335,7</t>
  </si>
</sst>
</file>

<file path=xl/styles.xml><?xml version="1.0" encoding="utf-8"?>
<styleSheet xmlns="http://schemas.openxmlformats.org/spreadsheetml/2006/main">
  <fonts count="17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8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top"/>
    </xf>
    <xf numFmtId="4" fontId="9" fillId="2" borderId="5" xfId="0" applyNumberFormat="1" applyFont="1" applyFill="1" applyBorder="1" applyAlignment="1">
      <alignment horizontal="center"/>
    </xf>
    <xf numFmtId="4" fontId="9" fillId="2" borderId="12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4" fontId="4" fillId="2" borderId="0" xfId="0" applyNumberFormat="1" applyFont="1" applyFill="1" applyAlignment="1">
      <alignment horizontal="right"/>
    </xf>
    <xf numFmtId="4" fontId="4" fillId="2" borderId="0" xfId="0" applyNumberFormat="1" applyFont="1" applyFill="1" applyAlignment="1">
      <alignment horizontal="left"/>
    </xf>
    <xf numFmtId="0" fontId="10" fillId="0" borderId="0" xfId="0" applyNumberFormat="1" applyFont="1" applyAlignment="1"/>
    <xf numFmtId="0" fontId="6" fillId="0" borderId="0" xfId="0" applyFont="1" applyAlignment="1">
      <alignment horizontal="right"/>
    </xf>
    <xf numFmtId="0" fontId="11" fillId="0" borderId="0" xfId="0" applyNumberFormat="1" applyFont="1" applyAlignment="1"/>
    <xf numFmtId="4" fontId="2" fillId="0" borderId="0" xfId="0" applyNumberFormat="1" applyFont="1" applyAlignment="1"/>
    <xf numFmtId="4" fontId="7" fillId="2" borderId="0" xfId="0" applyNumberFormat="1" applyFont="1" applyFill="1" applyBorder="1" applyAlignment="1">
      <alignment horizontal="center" vertical="center"/>
    </xf>
    <xf numFmtId="49" fontId="13" fillId="2" borderId="14" xfId="0" applyNumberFormat="1" applyFont="1" applyFill="1" applyBorder="1" applyAlignment="1">
      <alignment horizontal="left" wrapText="1"/>
    </xf>
    <xf numFmtId="4" fontId="7" fillId="2" borderId="0" xfId="0" applyNumberFormat="1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Alignment="1"/>
    <xf numFmtId="4" fontId="15" fillId="2" borderId="5" xfId="0" applyNumberFormat="1" applyFont="1" applyFill="1" applyBorder="1" applyAlignment="1">
      <alignment horizontal="center" vertical="top"/>
    </xf>
    <xf numFmtId="4" fontId="14" fillId="2" borderId="1" xfId="0" applyNumberFormat="1" applyFont="1" applyFill="1" applyBorder="1" applyAlignment="1">
      <alignment horizontal="center"/>
    </xf>
    <xf numFmtId="4" fontId="14" fillId="2" borderId="1" xfId="0" applyNumberFormat="1" applyFont="1" applyFill="1" applyBorder="1" applyAlignment="1">
      <alignment horizontal="center" vertical="top"/>
    </xf>
    <xf numFmtId="4" fontId="14" fillId="2" borderId="1" xfId="0" applyNumberFormat="1" applyFont="1" applyFill="1" applyBorder="1" applyAlignment="1">
      <alignment horizontal="center" vertical="top" wrapText="1"/>
    </xf>
    <xf numFmtId="4" fontId="14" fillId="2" borderId="1" xfId="0" applyNumberFormat="1" applyFont="1" applyFill="1" applyBorder="1" applyAlignment="1">
      <alignment horizontal="center" wrapText="1"/>
    </xf>
    <xf numFmtId="4" fontId="14" fillId="2" borderId="12" xfId="0" applyNumberFormat="1" applyFont="1" applyFill="1" applyBorder="1" applyAlignment="1">
      <alignment horizontal="left" vertical="top"/>
    </xf>
    <xf numFmtId="4" fontId="14" fillId="2" borderId="13" xfId="0" applyNumberFormat="1" applyFont="1" applyFill="1" applyBorder="1" applyAlignment="1">
      <alignment horizontal="left" vertical="top"/>
    </xf>
    <xf numFmtId="4" fontId="15" fillId="2" borderId="5" xfId="0" applyNumberFormat="1" applyFont="1" applyFill="1" applyBorder="1" applyAlignment="1">
      <alignment horizontal="center" vertical="center"/>
    </xf>
    <xf numFmtId="4" fontId="15" fillId="2" borderId="0" xfId="0" applyNumberFormat="1" applyFont="1" applyFill="1" applyBorder="1" applyAlignment="1">
      <alignment horizontal="center" vertical="center"/>
    </xf>
    <xf numFmtId="4" fontId="10" fillId="2" borderId="0" xfId="0" applyNumberFormat="1" applyFont="1" applyFill="1" applyAlignment="1">
      <alignment horizontal="right"/>
    </xf>
    <xf numFmtId="4" fontId="14" fillId="2" borderId="5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/>
    </xf>
    <xf numFmtId="4" fontId="15" fillId="0" borderId="1" xfId="0" applyNumberFormat="1" applyFont="1" applyFill="1" applyBorder="1" applyAlignment="1">
      <alignment horizontal="center" vertical="top"/>
    </xf>
    <xf numFmtId="4" fontId="14" fillId="2" borderId="5" xfId="0" applyNumberFormat="1" applyFont="1" applyFill="1" applyBorder="1" applyAlignment="1">
      <alignment horizontal="center"/>
    </xf>
    <xf numFmtId="4" fontId="14" fillId="2" borderId="13" xfId="0" applyNumberFormat="1" applyFont="1" applyFill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/>
    </xf>
    <xf numFmtId="4" fontId="15" fillId="0" borderId="12" xfId="0" applyNumberFormat="1" applyFont="1" applyFill="1" applyBorder="1" applyAlignment="1">
      <alignment horizontal="center" vertical="top"/>
    </xf>
    <xf numFmtId="49" fontId="16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/>
    </xf>
    <xf numFmtId="49" fontId="16" fillId="2" borderId="18" xfId="0" applyNumberFormat="1" applyFont="1" applyFill="1" applyBorder="1" applyAlignment="1">
      <alignment horizontal="left" wrapText="1"/>
    </xf>
    <xf numFmtId="4" fontId="15" fillId="2" borderId="0" xfId="0" applyNumberFormat="1" applyFont="1" applyFill="1" applyAlignment="1">
      <alignment horizontal="right"/>
    </xf>
    <xf numFmtId="4" fontId="15" fillId="2" borderId="0" xfId="0" applyNumberFormat="1" applyFont="1" applyFill="1" applyAlignment="1">
      <alignment horizontal="left"/>
    </xf>
    <xf numFmtId="4" fontId="15" fillId="0" borderId="15" xfId="0" applyNumberFormat="1" applyFont="1" applyFill="1" applyBorder="1" applyAlignment="1">
      <alignment horizontal="center" vertical="center"/>
    </xf>
    <xf numFmtId="4" fontId="15" fillId="0" borderId="16" xfId="0" applyNumberFormat="1" applyFont="1" applyFill="1" applyBorder="1" applyAlignment="1">
      <alignment horizontal="center" vertical="center"/>
    </xf>
    <xf numFmtId="49" fontId="16" fillId="2" borderId="19" xfId="0" applyNumberFormat="1" applyFont="1" applyFill="1" applyBorder="1" applyAlignment="1">
      <alignment horizontal="left" wrapText="1"/>
    </xf>
    <xf numFmtId="4" fontId="15" fillId="0" borderId="12" xfId="0" applyNumberFormat="1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left" vertical="top"/>
    </xf>
    <xf numFmtId="4" fontId="7" fillId="2" borderId="7" xfId="0" applyNumberFormat="1" applyFont="1" applyFill="1" applyBorder="1" applyAlignment="1">
      <alignment horizontal="left" vertical="top"/>
    </xf>
    <xf numFmtId="4" fontId="7" fillId="2" borderId="8" xfId="0" applyNumberFormat="1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left" vertical="top"/>
    </xf>
    <xf numFmtId="4" fontId="7" fillId="2" borderId="3" xfId="0" applyNumberFormat="1" applyFont="1" applyFill="1" applyBorder="1" applyAlignment="1">
      <alignment horizontal="center" vertical="top" wrapText="1"/>
    </xf>
    <xf numFmtId="4" fontId="7" fillId="2" borderId="2" xfId="0" applyNumberFormat="1" applyFont="1" applyFill="1" applyBorder="1" applyAlignment="1">
      <alignment horizontal="center" vertical="top" wrapText="1"/>
    </xf>
    <xf numFmtId="4" fontId="7" fillId="2" borderId="4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left" vertical="top" wrapText="1"/>
    </xf>
    <xf numFmtId="4" fontId="7" fillId="2" borderId="9" xfId="0" applyNumberFormat="1" applyFont="1" applyFill="1" applyBorder="1" applyAlignment="1">
      <alignment horizontal="center" vertical="top"/>
    </xf>
    <xf numFmtId="4" fontId="7" fillId="2" borderId="10" xfId="0" applyNumberFormat="1" applyFont="1" applyFill="1" applyBorder="1" applyAlignment="1">
      <alignment horizontal="center" vertical="top"/>
    </xf>
    <xf numFmtId="4" fontId="7" fillId="2" borderId="11" xfId="0" applyNumberFormat="1" applyFont="1" applyFill="1" applyBorder="1" applyAlignment="1">
      <alignment horizontal="center" vertical="top"/>
    </xf>
    <xf numFmtId="4" fontId="7" fillId="2" borderId="9" xfId="0" applyNumberFormat="1" applyFont="1" applyFill="1" applyBorder="1" applyAlignment="1">
      <alignment horizontal="left" vertical="center" wrapText="1"/>
    </xf>
    <xf numFmtId="4" fontId="7" fillId="2" borderId="10" xfId="0" applyNumberFormat="1" applyFont="1" applyFill="1" applyBorder="1" applyAlignment="1">
      <alignment horizontal="left" vertical="center" wrapText="1"/>
    </xf>
    <xf numFmtId="4" fontId="7" fillId="2" borderId="11" xfId="0" applyNumberFormat="1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horizontal="center" vertical="top"/>
    </xf>
    <xf numFmtId="4" fontId="7" fillId="2" borderId="2" xfId="0" applyNumberFormat="1" applyFont="1" applyFill="1" applyBorder="1" applyAlignment="1">
      <alignment horizontal="center" vertical="top"/>
    </xf>
    <xf numFmtId="4" fontId="7" fillId="2" borderId="4" xfId="0" applyNumberFormat="1" applyFont="1" applyFill="1" applyBorder="1" applyAlignment="1">
      <alignment horizontal="center" vertical="top"/>
    </xf>
    <xf numFmtId="4" fontId="7" fillId="2" borderId="13" xfId="0" applyNumberFormat="1" applyFont="1" applyFill="1" applyBorder="1" applyAlignment="1">
      <alignment horizontal="left" vertical="top"/>
    </xf>
    <xf numFmtId="4" fontId="4" fillId="2" borderId="3" xfId="0" applyNumberFormat="1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4" fontId="15" fillId="2" borderId="17" xfId="0" applyNumberFormat="1" applyFont="1" applyFill="1" applyBorder="1" applyAlignment="1">
      <alignment horizontal="center" vertical="center" wrapText="1"/>
    </xf>
    <xf numFmtId="4" fontId="15" fillId="2" borderId="18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4" fontId="15" fillId="2" borderId="20" xfId="0" applyNumberFormat="1" applyFont="1" applyFill="1" applyBorder="1" applyAlignment="1">
      <alignment horizontal="center" vertical="center" wrapText="1"/>
    </xf>
    <xf numFmtId="4" fontId="15" fillId="2" borderId="16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/>
    </xf>
    <xf numFmtId="4" fontId="15" fillId="2" borderId="14" xfId="0" applyNumberFormat="1" applyFont="1" applyFill="1" applyBorder="1" applyAlignment="1">
      <alignment horizontal="center" vertical="center" wrapText="1"/>
    </xf>
    <xf numFmtId="4" fontId="14" fillId="2" borderId="14" xfId="0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46"/>
  <sheetViews>
    <sheetView tabSelected="1" view="pageBreakPreview" zoomScale="84" zoomScaleNormal="100" zoomScaleSheetLayoutView="84" workbookViewId="0">
      <selection sqref="A1:AH35"/>
    </sheetView>
  </sheetViews>
  <sheetFormatPr defaultRowHeight="12.75"/>
  <cols>
    <col min="1" max="1" width="9.140625" style="4" customWidth="1"/>
    <col min="2" max="5" width="9.140625" style="4"/>
    <col min="6" max="6" width="20.7109375" style="4" customWidth="1"/>
    <col min="7" max="7" width="23.7109375" style="25" customWidth="1"/>
    <col min="8" max="8" width="11.42578125" style="35" customWidth="1"/>
    <col min="9" max="9" width="10.140625" style="5" customWidth="1"/>
    <col min="10" max="10" width="9.140625" style="5" customWidth="1"/>
    <col min="11" max="11" width="10.140625" style="5" customWidth="1"/>
    <col min="12" max="20" width="10" style="6" customWidth="1"/>
    <col min="21" max="21" width="10" style="35" customWidth="1"/>
    <col min="22" max="32" width="10" style="6" customWidth="1"/>
    <col min="33" max="33" width="16.5703125" style="35" customWidth="1"/>
    <col min="34" max="34" width="13.28515625" customWidth="1"/>
    <col min="35" max="35" width="13.5703125" customWidth="1"/>
  </cols>
  <sheetData>
    <row r="1" spans="1:45" s="1" customFormat="1" ht="16.5" customHeight="1">
      <c r="A1" s="76" t="s">
        <v>25</v>
      </c>
      <c r="B1" s="76"/>
      <c r="C1" s="76"/>
      <c r="D1" s="76"/>
      <c r="E1" s="76"/>
      <c r="F1" s="76"/>
      <c r="G1" s="76"/>
      <c r="H1" s="35"/>
      <c r="I1" s="17"/>
      <c r="J1" s="18" t="s">
        <v>53</v>
      </c>
      <c r="K1" s="18"/>
      <c r="L1" s="15"/>
      <c r="M1" s="15"/>
      <c r="N1" s="15"/>
      <c r="O1" s="15"/>
      <c r="P1" s="15"/>
      <c r="Q1" s="15"/>
      <c r="R1" s="15"/>
      <c r="S1" s="15"/>
      <c r="T1" s="15"/>
      <c r="U1" s="47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47"/>
    </row>
    <row r="2" spans="1:45" s="1" customFormat="1" ht="16.5" customHeight="1">
      <c r="A2" s="76" t="s">
        <v>24</v>
      </c>
      <c r="B2" s="76"/>
      <c r="C2" s="76"/>
      <c r="D2" s="76"/>
      <c r="E2" s="76"/>
      <c r="F2" s="76"/>
      <c r="G2" s="76"/>
      <c r="H2" s="35"/>
      <c r="I2" s="19"/>
      <c r="J2" s="18"/>
      <c r="K2" s="18"/>
      <c r="L2" s="16"/>
      <c r="M2" s="16"/>
      <c r="N2" s="16"/>
      <c r="O2" s="16"/>
      <c r="P2" s="16"/>
      <c r="Q2" s="16"/>
      <c r="R2" s="16"/>
      <c r="S2" s="16"/>
      <c r="T2" s="16"/>
      <c r="U2" s="48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48"/>
    </row>
    <row r="3" spans="1:45" s="1" customFormat="1" ht="16.5" customHeight="1">
      <c r="A3" s="76" t="s">
        <v>23</v>
      </c>
      <c r="B3" s="76"/>
      <c r="C3" s="76"/>
      <c r="D3" s="76"/>
      <c r="E3" s="76"/>
      <c r="F3" s="76"/>
      <c r="G3" s="76"/>
      <c r="H3" s="35"/>
      <c r="I3" s="19"/>
      <c r="J3" s="18"/>
      <c r="K3" s="18"/>
      <c r="L3" s="15"/>
      <c r="M3" s="15"/>
      <c r="N3" s="15"/>
      <c r="O3" s="15"/>
      <c r="P3" s="15"/>
      <c r="Q3" s="15"/>
      <c r="R3" s="15"/>
      <c r="S3" s="15"/>
      <c r="T3" s="15"/>
      <c r="U3" s="47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47"/>
    </row>
    <row r="4" spans="1:45" s="1" customFormat="1" ht="16.5" customHeight="1">
      <c r="A4" s="76" t="s">
        <v>22</v>
      </c>
      <c r="B4" s="76"/>
      <c r="C4" s="76"/>
      <c r="D4" s="76"/>
      <c r="E4" s="76"/>
      <c r="F4" s="76"/>
      <c r="G4" s="76"/>
      <c r="H4" s="35"/>
      <c r="I4" s="5"/>
      <c r="J4" s="5"/>
      <c r="K4" s="5"/>
      <c r="L4" s="6"/>
      <c r="M4" s="6"/>
      <c r="N4" s="6"/>
      <c r="O4" s="6"/>
      <c r="P4" s="6"/>
      <c r="Q4" s="6"/>
      <c r="R4" s="6"/>
      <c r="S4" s="6"/>
      <c r="T4" s="6"/>
      <c r="U4" s="35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35"/>
    </row>
    <row r="5" spans="1:45" s="1" customFormat="1">
      <c r="A5" s="3" t="s">
        <v>54</v>
      </c>
      <c r="B5" s="3" t="s">
        <v>55</v>
      </c>
      <c r="C5" s="4"/>
      <c r="D5" s="4"/>
      <c r="E5" s="4"/>
      <c r="F5" s="4"/>
      <c r="G5" s="25"/>
      <c r="H5" s="35"/>
      <c r="I5" s="5"/>
      <c r="J5" s="5"/>
      <c r="K5" s="5"/>
      <c r="L5" s="6"/>
      <c r="M5" s="6"/>
      <c r="N5" s="6"/>
      <c r="O5" s="6"/>
      <c r="P5" s="6"/>
      <c r="Q5" s="6"/>
      <c r="R5" s="6"/>
      <c r="S5" s="6"/>
      <c r="T5" s="6"/>
      <c r="U5" s="3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35"/>
    </row>
    <row r="6" spans="1:45" s="1" customFormat="1" ht="15.75" customHeight="1">
      <c r="A6" s="79" t="s">
        <v>21</v>
      </c>
      <c r="B6" s="79"/>
      <c r="C6" s="79"/>
      <c r="D6" s="79"/>
      <c r="E6" s="79"/>
      <c r="F6" s="79"/>
      <c r="G6" s="79" t="s">
        <v>20</v>
      </c>
      <c r="H6" s="79"/>
      <c r="I6" s="79"/>
      <c r="J6" s="79"/>
      <c r="K6" s="79"/>
      <c r="L6" s="79"/>
      <c r="M6" s="21"/>
      <c r="N6" s="21"/>
      <c r="O6" s="21"/>
      <c r="P6" s="21"/>
      <c r="Q6" s="21"/>
      <c r="R6" s="21"/>
      <c r="S6" s="21"/>
      <c r="T6" s="21"/>
      <c r="U6" s="34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34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</row>
    <row r="7" spans="1:45" s="7" customFormat="1" ht="56.25" customHeight="1">
      <c r="A7" s="79"/>
      <c r="B7" s="79"/>
      <c r="C7" s="79"/>
      <c r="D7" s="79"/>
      <c r="E7" s="79"/>
      <c r="F7" s="79"/>
      <c r="G7" s="80" t="s">
        <v>19</v>
      </c>
      <c r="H7" s="81" t="s">
        <v>46</v>
      </c>
      <c r="I7" s="22" t="s">
        <v>56</v>
      </c>
      <c r="J7" s="22" t="s">
        <v>56</v>
      </c>
      <c r="K7" s="22" t="s">
        <v>56</v>
      </c>
      <c r="L7" s="22" t="s">
        <v>60</v>
      </c>
      <c r="M7" s="22" t="s">
        <v>61</v>
      </c>
      <c r="N7" s="22" t="s">
        <v>63</v>
      </c>
      <c r="O7" s="22" t="s">
        <v>64</v>
      </c>
      <c r="P7" s="22" t="s">
        <v>66</v>
      </c>
      <c r="Q7" s="22" t="s">
        <v>66</v>
      </c>
      <c r="R7" s="22" t="s">
        <v>66</v>
      </c>
      <c r="S7" s="22" t="s">
        <v>71</v>
      </c>
      <c r="T7" s="22" t="s">
        <v>71</v>
      </c>
      <c r="U7" s="77" t="s">
        <v>85</v>
      </c>
      <c r="V7" s="51" t="s">
        <v>86</v>
      </c>
      <c r="W7" s="22" t="s">
        <v>66</v>
      </c>
      <c r="X7" s="22" t="s">
        <v>66</v>
      </c>
      <c r="Y7" s="22" t="s">
        <v>66</v>
      </c>
      <c r="Z7" s="22" t="s">
        <v>64</v>
      </c>
      <c r="AA7" s="22" t="s">
        <v>64</v>
      </c>
      <c r="AB7" s="22" t="s">
        <v>71</v>
      </c>
      <c r="AC7" s="22" t="s">
        <v>71</v>
      </c>
      <c r="AD7" s="22" t="s">
        <v>71</v>
      </c>
      <c r="AE7" s="22" t="s">
        <v>71</v>
      </c>
      <c r="AF7" s="22" t="s">
        <v>71</v>
      </c>
      <c r="AG7" s="74" t="s">
        <v>108</v>
      </c>
      <c r="AH7" s="51" t="s">
        <v>86</v>
      </c>
    </row>
    <row r="8" spans="1:45" s="7" customFormat="1">
      <c r="A8" s="79"/>
      <c r="B8" s="79"/>
      <c r="C8" s="79"/>
      <c r="D8" s="79"/>
      <c r="E8" s="79"/>
      <c r="F8" s="79"/>
      <c r="G8" s="80"/>
      <c r="H8" s="81"/>
      <c r="I8" s="22" t="s">
        <v>57</v>
      </c>
      <c r="J8" s="22" t="s">
        <v>58</v>
      </c>
      <c r="K8" s="22" t="s">
        <v>59</v>
      </c>
      <c r="L8" s="22" t="s">
        <v>58</v>
      </c>
      <c r="M8" s="22" t="s">
        <v>62</v>
      </c>
      <c r="N8" s="22" t="s">
        <v>52</v>
      </c>
      <c r="O8" s="22" t="s">
        <v>65</v>
      </c>
      <c r="P8" s="22" t="s">
        <v>67</v>
      </c>
      <c r="Q8" s="22" t="s">
        <v>68</v>
      </c>
      <c r="R8" s="22" t="s">
        <v>69</v>
      </c>
      <c r="S8" s="22" t="s">
        <v>70</v>
      </c>
      <c r="T8" s="22" t="s">
        <v>72</v>
      </c>
      <c r="U8" s="78"/>
      <c r="V8" s="46" t="s">
        <v>87</v>
      </c>
      <c r="W8" s="46" t="s">
        <v>88</v>
      </c>
      <c r="X8" s="46" t="s">
        <v>89</v>
      </c>
      <c r="Y8" s="46" t="s">
        <v>90</v>
      </c>
      <c r="Z8" s="46" t="s">
        <v>91</v>
      </c>
      <c r="AA8" s="46" t="s">
        <v>90</v>
      </c>
      <c r="AB8" s="46" t="s">
        <v>92</v>
      </c>
      <c r="AC8" s="46" t="s">
        <v>93</v>
      </c>
      <c r="AD8" s="46" t="s">
        <v>94</v>
      </c>
      <c r="AE8" s="46" t="s">
        <v>95</v>
      </c>
      <c r="AF8" s="46" t="s">
        <v>96</v>
      </c>
      <c r="AG8" s="75"/>
      <c r="AH8" s="46" t="s">
        <v>109</v>
      </c>
    </row>
    <row r="9" spans="1:45" s="1" customFormat="1">
      <c r="A9" s="61" t="s">
        <v>18</v>
      </c>
      <c r="B9" s="62"/>
      <c r="C9" s="62"/>
      <c r="D9" s="62"/>
      <c r="E9" s="62"/>
      <c r="F9" s="63"/>
      <c r="G9" s="26"/>
      <c r="H9" s="40">
        <f t="shared" ref="H9" si="0">SUM(H10:H13)</f>
        <v>0</v>
      </c>
      <c r="I9" s="11">
        <f t="shared" ref="I9" si="1">SUM(I10:I13)</f>
        <v>0</v>
      </c>
      <c r="J9" s="11">
        <f t="shared" ref="J9:M9" si="2">SUM(J10:J13)</f>
        <v>0</v>
      </c>
      <c r="K9" s="11">
        <f t="shared" si="2"/>
        <v>0</v>
      </c>
      <c r="L9" s="11">
        <f t="shared" si="2"/>
        <v>0</v>
      </c>
      <c r="M9" s="11">
        <f t="shared" si="2"/>
        <v>0</v>
      </c>
      <c r="N9" s="11">
        <f t="shared" ref="N9:T9" si="3">SUM(N10:N13)</f>
        <v>0</v>
      </c>
      <c r="O9" s="11">
        <f t="shared" si="3"/>
        <v>0</v>
      </c>
      <c r="P9" s="11">
        <f t="shared" si="3"/>
        <v>0</v>
      </c>
      <c r="Q9" s="11">
        <f t="shared" si="3"/>
        <v>0</v>
      </c>
      <c r="R9" s="11">
        <f t="shared" si="3"/>
        <v>0</v>
      </c>
      <c r="S9" s="11">
        <f t="shared" si="3"/>
        <v>0</v>
      </c>
      <c r="T9" s="11">
        <f t="shared" si="3"/>
        <v>0</v>
      </c>
      <c r="U9" s="42">
        <f t="shared" ref="U9" si="4">SUM(U10:U13)</f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42">
        <f t="shared" ref="AG9" si="5">SUM(AG10:AG13)</f>
        <v>0</v>
      </c>
      <c r="AH9" s="11">
        <v>0</v>
      </c>
    </row>
    <row r="10" spans="1:45" s="1" customFormat="1">
      <c r="A10" s="56" t="s">
        <v>26</v>
      </c>
      <c r="B10" s="56"/>
      <c r="C10" s="56"/>
      <c r="D10" s="56"/>
      <c r="E10" s="56"/>
      <c r="F10" s="56"/>
      <c r="G10" s="27" t="s">
        <v>11</v>
      </c>
      <c r="H10" s="27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38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38">
        <v>0</v>
      </c>
      <c r="AH10" s="9">
        <v>0</v>
      </c>
    </row>
    <row r="11" spans="1:45" s="1" customFormat="1">
      <c r="A11" s="56" t="s">
        <v>27</v>
      </c>
      <c r="B11" s="56"/>
      <c r="C11" s="56"/>
      <c r="D11" s="56"/>
      <c r="E11" s="56"/>
      <c r="F11" s="56"/>
      <c r="G11" s="27" t="s">
        <v>11</v>
      </c>
      <c r="H11" s="27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38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38">
        <v>0</v>
      </c>
      <c r="AH11" s="9">
        <v>0</v>
      </c>
    </row>
    <row r="12" spans="1:45" s="1" customFormat="1">
      <c r="A12" s="56" t="s">
        <v>17</v>
      </c>
      <c r="B12" s="56"/>
      <c r="C12" s="56"/>
      <c r="D12" s="56"/>
      <c r="E12" s="56"/>
      <c r="F12" s="56"/>
      <c r="G12" s="27" t="s">
        <v>11</v>
      </c>
      <c r="H12" s="27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38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38">
        <v>0</v>
      </c>
      <c r="AH12" s="9">
        <v>0</v>
      </c>
    </row>
    <row r="13" spans="1:45" s="1" customFormat="1">
      <c r="A13" s="56" t="s">
        <v>16</v>
      </c>
      <c r="B13" s="56"/>
      <c r="C13" s="56"/>
      <c r="D13" s="56"/>
      <c r="E13" s="56"/>
      <c r="F13" s="56"/>
      <c r="G13" s="27" t="s">
        <v>15</v>
      </c>
      <c r="H13" s="27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38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38">
        <v>0</v>
      </c>
      <c r="AH13" s="9">
        <v>0</v>
      </c>
    </row>
    <row r="14" spans="1:45" s="1" customFormat="1" ht="23.85" customHeight="1">
      <c r="A14" s="57" t="s">
        <v>14</v>
      </c>
      <c r="B14" s="58"/>
      <c r="C14" s="58"/>
      <c r="D14" s="58"/>
      <c r="E14" s="58"/>
      <c r="F14" s="59"/>
      <c r="G14" s="28"/>
      <c r="H14" s="27">
        <f t="shared" ref="H14" si="6">SUM(H15:H21)</f>
        <v>4.6500000000000004</v>
      </c>
      <c r="I14" s="8">
        <f t="shared" ref="I14:K14" si="7">SUM(I15:I21)</f>
        <v>25807.5</v>
      </c>
      <c r="J14" s="8">
        <f t="shared" si="7"/>
        <v>27933.480000000003</v>
      </c>
      <c r="K14" s="8">
        <f t="shared" si="7"/>
        <v>22593.42</v>
      </c>
      <c r="L14" s="8">
        <f t="shared" ref="L14:O14" si="8">SUM(L15:L21)</f>
        <v>29228.04</v>
      </c>
      <c r="M14" s="8">
        <f t="shared" si="8"/>
        <v>29495.88</v>
      </c>
      <c r="N14" s="8">
        <f t="shared" si="8"/>
        <v>22526.46</v>
      </c>
      <c r="O14" s="8">
        <f t="shared" si="8"/>
        <v>22431.600000000002</v>
      </c>
      <c r="P14" s="8">
        <f t="shared" ref="P14:T14" si="9">SUM(P15:P21)</f>
        <v>18832.5</v>
      </c>
      <c r="Q14" s="8">
        <f t="shared" si="9"/>
        <v>27911.160000000003</v>
      </c>
      <c r="R14" s="8">
        <f t="shared" si="9"/>
        <v>39009.78</v>
      </c>
      <c r="S14" s="8">
        <f t="shared" si="9"/>
        <v>33256.800000000003</v>
      </c>
      <c r="T14" s="8">
        <f t="shared" si="9"/>
        <v>40828.86</v>
      </c>
      <c r="U14" s="38">
        <f t="shared" ref="U14:V14" si="10">SUM(U15:U21)</f>
        <v>8.17</v>
      </c>
      <c r="V14" s="8">
        <f t="shared" si="10"/>
        <v>51461.195999999996</v>
      </c>
      <c r="W14" s="8">
        <f t="shared" ref="W14:AA14" si="11">SUM(W15:W21)</f>
        <v>32882.615999999995</v>
      </c>
      <c r="X14" s="8">
        <f t="shared" si="11"/>
        <v>33764.975999999995</v>
      </c>
      <c r="Y14" s="8">
        <f t="shared" si="11"/>
        <v>46088.603999999999</v>
      </c>
      <c r="Z14" s="8">
        <f t="shared" si="11"/>
        <v>40196.399999999994</v>
      </c>
      <c r="AA14" s="8">
        <f t="shared" si="11"/>
        <v>51343.54800000001</v>
      </c>
      <c r="AB14" s="8">
        <f t="shared" ref="AB14:AE14" si="12">SUM(AB15:AB21)</f>
        <v>64824.048000000003</v>
      </c>
      <c r="AC14" s="8">
        <f t="shared" si="12"/>
        <v>29147.292000000001</v>
      </c>
      <c r="AD14" s="8">
        <f t="shared" si="12"/>
        <v>37186.572</v>
      </c>
      <c r="AE14" s="8">
        <f t="shared" si="12"/>
        <v>48970.979999999996</v>
      </c>
      <c r="AF14" s="8">
        <f t="shared" ref="AF14" si="13">SUM(AF15:AF21)</f>
        <v>50657.268000000004</v>
      </c>
      <c r="AG14" s="38">
        <f t="shared" ref="AG14:AH14" si="14">SUM(AG15:AG21)</f>
        <v>12.84</v>
      </c>
      <c r="AH14" s="8">
        <f t="shared" si="14"/>
        <v>51724.656000000003</v>
      </c>
    </row>
    <row r="15" spans="1:45" s="1" customFormat="1">
      <c r="A15" s="56" t="s">
        <v>40</v>
      </c>
      <c r="B15" s="56"/>
      <c r="C15" s="56"/>
      <c r="D15" s="56"/>
      <c r="E15" s="56"/>
      <c r="F15" s="56"/>
      <c r="G15" s="27" t="s">
        <v>41</v>
      </c>
      <c r="H15" s="27">
        <v>1.08</v>
      </c>
      <c r="I15" s="9">
        <f>1.08*12*I35</f>
        <v>5994</v>
      </c>
      <c r="J15" s="9">
        <f t="shared" ref="J15:K15" si="15">1.08*12*J35</f>
        <v>6487.7760000000007</v>
      </c>
      <c r="K15" s="9">
        <f t="shared" si="15"/>
        <v>5247.5039999999999</v>
      </c>
      <c r="L15" s="9">
        <f t="shared" ref="L15" si="16">1.08*12*L35</f>
        <v>6788.4479999999994</v>
      </c>
      <c r="M15" s="9">
        <f>1.08*12*M35</f>
        <v>6850.6560000000009</v>
      </c>
      <c r="N15" s="9">
        <f t="shared" ref="N15:P15" si="17">1.08*12*N35</f>
        <v>5231.9520000000002</v>
      </c>
      <c r="O15" s="9">
        <f t="shared" si="17"/>
        <v>5209.92</v>
      </c>
      <c r="P15" s="9">
        <f t="shared" si="17"/>
        <v>4374</v>
      </c>
      <c r="Q15" s="9">
        <f>1.08*12*Q35</f>
        <v>6482.5920000000006</v>
      </c>
      <c r="R15" s="9">
        <f t="shared" ref="R15:T15" si="18">1.08*12*R35</f>
        <v>9060.3360000000011</v>
      </c>
      <c r="S15" s="9">
        <f t="shared" si="18"/>
        <v>7724.1600000000008</v>
      </c>
      <c r="T15" s="9">
        <f t="shared" si="18"/>
        <v>9482.8320000000003</v>
      </c>
      <c r="U15" s="38">
        <v>0.68</v>
      </c>
      <c r="V15" s="9">
        <f t="shared" ref="V15:AF15" si="19">0.68*12*V35</f>
        <v>4283.1840000000002</v>
      </c>
      <c r="W15" s="9">
        <f t="shared" si="19"/>
        <v>2736.864</v>
      </c>
      <c r="X15" s="9">
        <f t="shared" si="19"/>
        <v>2810.3040000000001</v>
      </c>
      <c r="Y15" s="9">
        <f t="shared" si="19"/>
        <v>3836.0160000000001</v>
      </c>
      <c r="Z15" s="9">
        <f t="shared" si="19"/>
        <v>3345.6</v>
      </c>
      <c r="AA15" s="9">
        <f t="shared" si="19"/>
        <v>4273.3920000000007</v>
      </c>
      <c r="AB15" s="9">
        <f t="shared" si="19"/>
        <v>5395.3920000000007</v>
      </c>
      <c r="AC15" s="9">
        <f t="shared" si="19"/>
        <v>2425.9680000000003</v>
      </c>
      <c r="AD15" s="9">
        <f t="shared" si="19"/>
        <v>3095.0880000000002</v>
      </c>
      <c r="AE15" s="9">
        <f t="shared" si="19"/>
        <v>4075.92</v>
      </c>
      <c r="AF15" s="9">
        <f t="shared" si="19"/>
        <v>4216.2720000000008</v>
      </c>
      <c r="AG15" s="38">
        <v>0.71</v>
      </c>
      <c r="AH15" s="9">
        <f>0.71*12*AH35</f>
        <v>2860.1639999999998</v>
      </c>
    </row>
    <row r="16" spans="1:45" s="1" customFormat="1">
      <c r="A16" s="56" t="s">
        <v>31</v>
      </c>
      <c r="B16" s="56"/>
      <c r="C16" s="56"/>
      <c r="D16" s="56"/>
      <c r="E16" s="56"/>
      <c r="F16" s="56"/>
      <c r="G16" s="27" t="s">
        <v>13</v>
      </c>
      <c r="H16" s="27">
        <v>0.41</v>
      </c>
      <c r="I16" s="9">
        <f>0.41*12*I35</f>
        <v>2275.5</v>
      </c>
      <c r="J16" s="9">
        <f t="shared" ref="J16:K16" si="20">0.41*12*J35</f>
        <v>2462.9520000000002</v>
      </c>
      <c r="K16" s="9">
        <f t="shared" si="20"/>
        <v>1992.1079999999999</v>
      </c>
      <c r="L16" s="9">
        <f t="shared" ref="L16" si="21">0.41*12*L35</f>
        <v>2577.0959999999995</v>
      </c>
      <c r="M16" s="9">
        <f>0.41*12*M35</f>
        <v>2600.712</v>
      </c>
      <c r="N16" s="9">
        <f t="shared" ref="N16:P16" si="22">0.41*12*N35</f>
        <v>1986.204</v>
      </c>
      <c r="O16" s="9">
        <f t="shared" si="22"/>
        <v>1977.84</v>
      </c>
      <c r="P16" s="9">
        <f t="shared" si="22"/>
        <v>1660.5</v>
      </c>
      <c r="Q16" s="9">
        <f>0.41*12*Q35</f>
        <v>2460.9839999999999</v>
      </c>
      <c r="R16" s="9">
        <f t="shared" ref="R16:T16" si="23">0.41*12*R35</f>
        <v>3439.5720000000001</v>
      </c>
      <c r="S16" s="9">
        <f t="shared" si="23"/>
        <v>2932.32</v>
      </c>
      <c r="T16" s="9">
        <f t="shared" si="23"/>
        <v>3599.9640000000004</v>
      </c>
      <c r="U16" s="38">
        <v>0.89</v>
      </c>
      <c r="V16" s="9">
        <f t="shared" ref="V16:AF16" si="24">0.89*12*V35</f>
        <v>5605.9319999999998</v>
      </c>
      <c r="W16" s="9">
        <f t="shared" si="24"/>
        <v>3582.0719999999997</v>
      </c>
      <c r="X16" s="9">
        <f t="shared" si="24"/>
        <v>3678.1919999999996</v>
      </c>
      <c r="Y16" s="9">
        <f t="shared" si="24"/>
        <v>5020.6679999999997</v>
      </c>
      <c r="Z16" s="9">
        <f t="shared" si="24"/>
        <v>4378.8</v>
      </c>
      <c r="AA16" s="9">
        <f t="shared" si="24"/>
        <v>5593.116</v>
      </c>
      <c r="AB16" s="9">
        <f t="shared" si="24"/>
        <v>7061.616</v>
      </c>
      <c r="AC16" s="9">
        <f t="shared" si="24"/>
        <v>3175.1640000000002</v>
      </c>
      <c r="AD16" s="9">
        <f t="shared" si="24"/>
        <v>4050.924</v>
      </c>
      <c r="AE16" s="9">
        <f t="shared" si="24"/>
        <v>5334.66</v>
      </c>
      <c r="AF16" s="9">
        <f t="shared" si="24"/>
        <v>5518.3560000000007</v>
      </c>
      <c r="AG16" s="38">
        <v>0.89</v>
      </c>
      <c r="AH16" s="9">
        <f>0.89*12*AH35</f>
        <v>3585.2759999999998</v>
      </c>
    </row>
    <row r="17" spans="1:34" s="1" customFormat="1">
      <c r="A17" s="56" t="s">
        <v>32</v>
      </c>
      <c r="B17" s="56"/>
      <c r="C17" s="56"/>
      <c r="D17" s="56"/>
      <c r="E17" s="56"/>
      <c r="F17" s="56"/>
      <c r="G17" s="27" t="s">
        <v>42</v>
      </c>
      <c r="H17" s="27">
        <v>0.32</v>
      </c>
      <c r="I17" s="9">
        <f>0.32*12*I35</f>
        <v>1776</v>
      </c>
      <c r="J17" s="9">
        <f t="shared" ref="J17:K17" si="25">0.32*12*J35</f>
        <v>1922.3040000000001</v>
      </c>
      <c r="K17" s="9">
        <f t="shared" si="25"/>
        <v>1554.8159999999998</v>
      </c>
      <c r="L17" s="9">
        <f t="shared" ref="L17" si="26">0.32*12*L35</f>
        <v>2011.3919999999998</v>
      </c>
      <c r="M17" s="9">
        <f>0.32*12*M35</f>
        <v>2029.8240000000001</v>
      </c>
      <c r="N17" s="9">
        <f t="shared" ref="N17:P17" si="27">0.32*12*N35</f>
        <v>1550.2079999999999</v>
      </c>
      <c r="O17" s="9">
        <f t="shared" si="27"/>
        <v>1543.6799999999998</v>
      </c>
      <c r="P17" s="9">
        <f t="shared" si="27"/>
        <v>1296</v>
      </c>
      <c r="Q17" s="9">
        <f>0.32*12*Q35</f>
        <v>1920.7679999999998</v>
      </c>
      <c r="R17" s="9">
        <f t="shared" ref="R17:T17" si="28">0.32*12*R35</f>
        <v>2684.5439999999999</v>
      </c>
      <c r="S17" s="9">
        <f t="shared" si="28"/>
        <v>2288.64</v>
      </c>
      <c r="T17" s="9">
        <f t="shared" si="28"/>
        <v>2809.7280000000001</v>
      </c>
      <c r="U17" s="38">
        <v>0.28000000000000003</v>
      </c>
      <c r="V17" s="9">
        <f t="shared" ref="V17:AF17" si="29">0.28*12*V35</f>
        <v>1763.664</v>
      </c>
      <c r="W17" s="9">
        <f t="shared" si="29"/>
        <v>1126.944</v>
      </c>
      <c r="X17" s="9">
        <f t="shared" si="29"/>
        <v>1157.184</v>
      </c>
      <c r="Y17" s="9">
        <f t="shared" si="29"/>
        <v>1579.5360000000003</v>
      </c>
      <c r="Z17" s="9">
        <f t="shared" si="29"/>
        <v>1377.6000000000001</v>
      </c>
      <c r="AA17" s="9">
        <f t="shared" si="29"/>
        <v>1759.6320000000003</v>
      </c>
      <c r="AB17" s="9">
        <f t="shared" si="29"/>
        <v>2221.6320000000005</v>
      </c>
      <c r="AC17" s="9">
        <f t="shared" si="29"/>
        <v>998.92800000000011</v>
      </c>
      <c r="AD17" s="9">
        <f t="shared" si="29"/>
        <v>1274.4480000000001</v>
      </c>
      <c r="AE17" s="9">
        <f t="shared" si="29"/>
        <v>1678.3200000000002</v>
      </c>
      <c r="AF17" s="9">
        <f t="shared" si="29"/>
        <v>1736.1120000000003</v>
      </c>
      <c r="AG17" s="38">
        <v>0.23</v>
      </c>
      <c r="AH17" s="9">
        <f>0.23*12*AH35</f>
        <v>926.53200000000004</v>
      </c>
    </row>
    <row r="18" spans="1:34" s="1" customFormat="1" ht="57.75" customHeight="1">
      <c r="A18" s="71" t="s">
        <v>33</v>
      </c>
      <c r="B18" s="72"/>
      <c r="C18" s="72"/>
      <c r="D18" s="72"/>
      <c r="E18" s="72"/>
      <c r="F18" s="73"/>
      <c r="G18" s="29" t="s">
        <v>12</v>
      </c>
      <c r="H18" s="27">
        <v>0.17</v>
      </c>
      <c r="I18" s="9">
        <f>0.17*12*I35</f>
        <v>943.5</v>
      </c>
      <c r="J18" s="9">
        <f t="shared" ref="J18:K18" si="30">0.17*12*J35</f>
        <v>1021.224</v>
      </c>
      <c r="K18" s="9">
        <f t="shared" si="30"/>
        <v>825.99599999999998</v>
      </c>
      <c r="L18" s="9">
        <f t="shared" ref="L18" si="31">0.17*12*L35</f>
        <v>1068.5519999999999</v>
      </c>
      <c r="M18" s="9">
        <f>0.17*12*M35</f>
        <v>1078.3440000000001</v>
      </c>
      <c r="N18" s="9">
        <f t="shared" ref="N18:P18" si="32">0.17*12*N35</f>
        <v>823.548</v>
      </c>
      <c r="O18" s="9">
        <f t="shared" si="32"/>
        <v>820.08</v>
      </c>
      <c r="P18" s="9">
        <f t="shared" si="32"/>
        <v>688.5</v>
      </c>
      <c r="Q18" s="9">
        <f>0.17*12*Q35</f>
        <v>1020.408</v>
      </c>
      <c r="R18" s="9">
        <f t="shared" ref="R18:T18" si="33">0.17*12*R35</f>
        <v>1426.164</v>
      </c>
      <c r="S18" s="9">
        <f t="shared" si="33"/>
        <v>1215.8399999999999</v>
      </c>
      <c r="T18" s="9">
        <f t="shared" si="33"/>
        <v>1492.6680000000001</v>
      </c>
      <c r="U18" s="38">
        <v>0.15</v>
      </c>
      <c r="V18" s="9">
        <f t="shared" ref="V18:AF18" si="34">0.15*12*V35</f>
        <v>944.81999999999982</v>
      </c>
      <c r="W18" s="9">
        <f t="shared" si="34"/>
        <v>603.71999999999991</v>
      </c>
      <c r="X18" s="9">
        <f t="shared" si="34"/>
        <v>619.91999999999985</v>
      </c>
      <c r="Y18" s="9">
        <f t="shared" si="34"/>
        <v>846.18</v>
      </c>
      <c r="Z18" s="9">
        <f t="shared" si="34"/>
        <v>737.99999999999989</v>
      </c>
      <c r="AA18" s="9">
        <f t="shared" si="34"/>
        <v>942.66</v>
      </c>
      <c r="AB18" s="9">
        <f t="shared" si="34"/>
        <v>1190.1599999999999</v>
      </c>
      <c r="AC18" s="9">
        <f t="shared" si="34"/>
        <v>535.14</v>
      </c>
      <c r="AD18" s="9">
        <f t="shared" si="34"/>
        <v>682.74</v>
      </c>
      <c r="AE18" s="9">
        <f t="shared" si="34"/>
        <v>899.09999999999991</v>
      </c>
      <c r="AF18" s="9">
        <f t="shared" si="34"/>
        <v>930.06</v>
      </c>
      <c r="AG18" s="38">
        <v>0.14000000000000001</v>
      </c>
      <c r="AH18" s="9">
        <f>0.14*12*AH35</f>
        <v>563.976</v>
      </c>
    </row>
    <row r="19" spans="1:34" s="1" customFormat="1" ht="23.25" customHeight="1">
      <c r="A19" s="60" t="s">
        <v>34</v>
      </c>
      <c r="B19" s="56"/>
      <c r="C19" s="56"/>
      <c r="D19" s="56"/>
      <c r="E19" s="56"/>
      <c r="F19" s="56"/>
      <c r="G19" s="27" t="s">
        <v>43</v>
      </c>
      <c r="H19" s="27">
        <v>0.05</v>
      </c>
      <c r="I19" s="9">
        <f>0.05*12*I35</f>
        <v>277.50000000000006</v>
      </c>
      <c r="J19" s="9">
        <f t="shared" ref="J19:K19" si="35">0.05*12*J35</f>
        <v>300.36000000000007</v>
      </c>
      <c r="K19" s="9">
        <f t="shared" si="35"/>
        <v>242.94000000000003</v>
      </c>
      <c r="L19" s="9">
        <f t="shared" ref="L19" si="36">0.05*12*L35</f>
        <v>314.28000000000003</v>
      </c>
      <c r="M19" s="9">
        <f>0.05*12*M35</f>
        <v>317.16000000000008</v>
      </c>
      <c r="N19" s="9">
        <f t="shared" ref="N19:P19" si="37">0.05*12*N35</f>
        <v>242.22000000000003</v>
      </c>
      <c r="O19" s="9">
        <f t="shared" si="37"/>
        <v>241.20000000000005</v>
      </c>
      <c r="P19" s="9">
        <f t="shared" si="37"/>
        <v>202.50000000000003</v>
      </c>
      <c r="Q19" s="9">
        <f>0.05*12*Q35</f>
        <v>300.12000000000006</v>
      </c>
      <c r="R19" s="9">
        <f t="shared" ref="R19:T19" si="38">0.05*12*R35</f>
        <v>419.46000000000009</v>
      </c>
      <c r="S19" s="9">
        <f t="shared" si="38"/>
        <v>357.60000000000008</v>
      </c>
      <c r="T19" s="9">
        <f t="shared" si="38"/>
        <v>439.0200000000001</v>
      </c>
      <c r="U19" s="38">
        <v>0.05</v>
      </c>
      <c r="V19" s="9">
        <f t="shared" ref="V19:W19" si="39">0.05*12*V35</f>
        <v>314.94000000000005</v>
      </c>
      <c r="W19" s="9">
        <f t="shared" si="39"/>
        <v>201.24</v>
      </c>
      <c r="X19" s="9">
        <f t="shared" ref="X19:AB19" si="40">0.05*12*X35</f>
        <v>206.64000000000001</v>
      </c>
      <c r="Y19" s="9">
        <f t="shared" si="40"/>
        <v>282.06000000000006</v>
      </c>
      <c r="Z19" s="9">
        <f t="shared" si="40"/>
        <v>246.00000000000003</v>
      </c>
      <c r="AA19" s="9">
        <f t="shared" si="40"/>
        <v>314.22000000000008</v>
      </c>
      <c r="AB19" s="9">
        <f t="shared" si="40"/>
        <v>396.72000000000008</v>
      </c>
      <c r="AC19" s="9">
        <f t="shared" ref="AC19:AE19" si="41">0.05*12*AC35</f>
        <v>178.38000000000002</v>
      </c>
      <c r="AD19" s="9">
        <f t="shared" si="41"/>
        <v>227.58000000000004</v>
      </c>
      <c r="AE19" s="9">
        <f t="shared" si="41"/>
        <v>299.70000000000005</v>
      </c>
      <c r="AF19" s="9">
        <f t="shared" ref="AF19" si="42">0.05*12*AF35</f>
        <v>310.0200000000001</v>
      </c>
      <c r="AG19" s="38">
        <v>0.05</v>
      </c>
      <c r="AH19" s="9">
        <f t="shared" ref="AH19" si="43">0.05*12*AH35</f>
        <v>201.42000000000002</v>
      </c>
    </row>
    <row r="20" spans="1:34" s="1" customFormat="1" ht="21.75">
      <c r="A20" s="56" t="s">
        <v>35</v>
      </c>
      <c r="B20" s="56"/>
      <c r="C20" s="56"/>
      <c r="D20" s="56"/>
      <c r="E20" s="56"/>
      <c r="F20" s="56"/>
      <c r="G20" s="30" t="s">
        <v>48</v>
      </c>
      <c r="H20" s="27">
        <v>2.62</v>
      </c>
      <c r="I20" s="9">
        <f>2.62*12*I35</f>
        <v>14541</v>
      </c>
      <c r="J20" s="9">
        <f t="shared" ref="J20:K20" si="44">2.62*12*J35</f>
        <v>15738.864000000001</v>
      </c>
      <c r="K20" s="9">
        <f t="shared" si="44"/>
        <v>12730.056</v>
      </c>
      <c r="L20" s="9">
        <f t="shared" ref="L20" si="45">2.62*12*L35</f>
        <v>16468.272000000001</v>
      </c>
      <c r="M20" s="9">
        <f>2.62*12*M35</f>
        <v>16619.184000000001</v>
      </c>
      <c r="N20" s="9">
        <f t="shared" ref="N20:P20" si="46">2.62*12*N35</f>
        <v>12692.328</v>
      </c>
      <c r="O20" s="9">
        <f t="shared" si="46"/>
        <v>12638.880000000001</v>
      </c>
      <c r="P20" s="9">
        <f t="shared" si="46"/>
        <v>10611</v>
      </c>
      <c r="Q20" s="9">
        <f>2.62*12*Q35</f>
        <v>15726.288</v>
      </c>
      <c r="R20" s="9">
        <f t="shared" ref="R20:T20" si="47">2.62*12*R35</f>
        <v>21979.704000000002</v>
      </c>
      <c r="S20" s="9">
        <f t="shared" si="47"/>
        <v>18738.240000000002</v>
      </c>
      <c r="T20" s="9">
        <f t="shared" si="47"/>
        <v>23004.648000000001</v>
      </c>
      <c r="U20" s="38">
        <v>6.12</v>
      </c>
      <c r="V20" s="9">
        <f t="shared" ref="V20:AF20" si="48">6.12*12*V35</f>
        <v>38548.655999999995</v>
      </c>
      <c r="W20" s="9">
        <f t="shared" si="48"/>
        <v>24631.775999999998</v>
      </c>
      <c r="X20" s="9">
        <f t="shared" si="48"/>
        <v>25292.735999999997</v>
      </c>
      <c r="Y20" s="9">
        <f t="shared" si="48"/>
        <v>34524.144</v>
      </c>
      <c r="Z20" s="9">
        <f t="shared" si="48"/>
        <v>30110.399999999998</v>
      </c>
      <c r="AA20" s="9">
        <f t="shared" si="48"/>
        <v>38460.528000000006</v>
      </c>
      <c r="AB20" s="9">
        <f t="shared" si="48"/>
        <v>48558.527999999998</v>
      </c>
      <c r="AC20" s="9">
        <f t="shared" si="48"/>
        <v>21833.712</v>
      </c>
      <c r="AD20" s="9">
        <f t="shared" si="48"/>
        <v>27855.792000000001</v>
      </c>
      <c r="AE20" s="9">
        <f t="shared" si="48"/>
        <v>36683.279999999999</v>
      </c>
      <c r="AF20" s="9">
        <f t="shared" si="48"/>
        <v>37946.448000000004</v>
      </c>
      <c r="AG20" s="38">
        <v>6.12</v>
      </c>
      <c r="AH20" s="9">
        <f>6.12*12*AH35</f>
        <v>24653.807999999997</v>
      </c>
    </row>
    <row r="21" spans="1:34" s="1" customFormat="1">
      <c r="A21" s="56" t="s">
        <v>36</v>
      </c>
      <c r="B21" s="56"/>
      <c r="C21" s="56"/>
      <c r="D21" s="56"/>
      <c r="E21" s="56"/>
      <c r="F21" s="56"/>
      <c r="G21" s="27" t="s">
        <v>4</v>
      </c>
      <c r="H21" s="27">
        <v>0</v>
      </c>
      <c r="I21" s="9">
        <f>0*12*I35</f>
        <v>0</v>
      </c>
      <c r="J21" s="9">
        <f t="shared" ref="J21:K21" si="49">0*12*J35</f>
        <v>0</v>
      </c>
      <c r="K21" s="9">
        <f t="shared" si="49"/>
        <v>0</v>
      </c>
      <c r="L21" s="9">
        <f t="shared" ref="L21" si="50">0*12*L35</f>
        <v>0</v>
      </c>
      <c r="M21" s="9">
        <f>0*12*M35</f>
        <v>0</v>
      </c>
      <c r="N21" s="9">
        <f t="shared" ref="N21:P21" si="51">0*12*N35</f>
        <v>0</v>
      </c>
      <c r="O21" s="9">
        <f t="shared" si="51"/>
        <v>0</v>
      </c>
      <c r="P21" s="9">
        <f t="shared" si="51"/>
        <v>0</v>
      </c>
      <c r="Q21" s="9">
        <f>0*12*Q35</f>
        <v>0</v>
      </c>
      <c r="R21" s="9">
        <f t="shared" ref="R21:T21" si="52">0*12*R35</f>
        <v>0</v>
      </c>
      <c r="S21" s="9">
        <f t="shared" si="52"/>
        <v>0</v>
      </c>
      <c r="T21" s="9">
        <f t="shared" si="52"/>
        <v>0</v>
      </c>
      <c r="U21" s="38">
        <v>0</v>
      </c>
      <c r="V21" s="9">
        <f t="shared" ref="V21:W21" si="53">0*12*V35</f>
        <v>0</v>
      </c>
      <c r="W21" s="9">
        <f t="shared" si="53"/>
        <v>0</v>
      </c>
      <c r="X21" s="9">
        <f t="shared" ref="X21:AB21" si="54">0*12*X35</f>
        <v>0</v>
      </c>
      <c r="Y21" s="9">
        <f t="shared" si="54"/>
        <v>0</v>
      </c>
      <c r="Z21" s="9">
        <f t="shared" si="54"/>
        <v>0</v>
      </c>
      <c r="AA21" s="9">
        <f t="shared" si="54"/>
        <v>0</v>
      </c>
      <c r="AB21" s="9">
        <f t="shared" si="54"/>
        <v>0</v>
      </c>
      <c r="AC21" s="9">
        <f t="shared" ref="AC21:AE21" si="55">0*12*AC35</f>
        <v>0</v>
      </c>
      <c r="AD21" s="9">
        <f t="shared" si="55"/>
        <v>0</v>
      </c>
      <c r="AE21" s="9">
        <f t="shared" si="55"/>
        <v>0</v>
      </c>
      <c r="AF21" s="9">
        <f t="shared" ref="AF21" si="56">0*12*AF35</f>
        <v>0</v>
      </c>
      <c r="AG21" s="38">
        <v>4.7</v>
      </c>
      <c r="AH21" s="9">
        <f>4.7*12*AH35</f>
        <v>18933.48</v>
      </c>
    </row>
    <row r="22" spans="1:34" s="1" customFormat="1" ht="13.5" customHeight="1">
      <c r="A22" s="57" t="s">
        <v>10</v>
      </c>
      <c r="B22" s="58"/>
      <c r="C22" s="58"/>
      <c r="D22" s="58"/>
      <c r="E22" s="58"/>
      <c r="F22" s="59"/>
      <c r="G22" s="28"/>
      <c r="H22" s="28">
        <f t="shared" ref="H22" si="57">SUM(H23:H27)</f>
        <v>1.94</v>
      </c>
      <c r="I22" s="10">
        <f t="shared" ref="I22:K22" si="58">SUM(I23:I27)</f>
        <v>10767</v>
      </c>
      <c r="J22" s="10">
        <f t="shared" si="58"/>
        <v>11653.968000000001</v>
      </c>
      <c r="K22" s="10">
        <f t="shared" si="58"/>
        <v>9426.0720000000001</v>
      </c>
      <c r="L22" s="10">
        <f t="shared" ref="L22:O22" si="59">SUM(L23:L27)</f>
        <v>12194.063999999998</v>
      </c>
      <c r="M22" s="10">
        <f t="shared" si="59"/>
        <v>12305.808000000001</v>
      </c>
      <c r="N22" s="10">
        <f t="shared" si="59"/>
        <v>9398.1359999999986</v>
      </c>
      <c r="O22" s="10">
        <f t="shared" si="59"/>
        <v>9358.5600000000013</v>
      </c>
      <c r="P22" s="10">
        <f t="shared" ref="P22:V22" si="60">SUM(P23:P27)</f>
        <v>7857</v>
      </c>
      <c r="Q22" s="10">
        <f t="shared" si="60"/>
        <v>11644.655999999999</v>
      </c>
      <c r="R22" s="10">
        <f t="shared" si="60"/>
        <v>16275.048000000001</v>
      </c>
      <c r="S22" s="10">
        <f t="shared" si="60"/>
        <v>13874.880000000001</v>
      </c>
      <c r="T22" s="10">
        <f t="shared" si="60"/>
        <v>17033.976000000002</v>
      </c>
      <c r="U22" s="39">
        <f t="shared" si="60"/>
        <v>4.25</v>
      </c>
      <c r="V22" s="10">
        <f t="shared" si="60"/>
        <v>26769.9</v>
      </c>
      <c r="W22" s="10">
        <f t="shared" ref="W22:AA22" si="61">SUM(W23:W27)</f>
        <v>17105.400000000001</v>
      </c>
      <c r="X22" s="10">
        <f t="shared" si="61"/>
        <v>17564.400000000001</v>
      </c>
      <c r="Y22" s="10">
        <f t="shared" si="61"/>
        <v>23975.100000000002</v>
      </c>
      <c r="Z22" s="10">
        <f t="shared" si="61"/>
        <v>20910.000000000004</v>
      </c>
      <c r="AA22" s="10">
        <f t="shared" si="61"/>
        <v>26708.700000000008</v>
      </c>
      <c r="AB22" s="10">
        <f t="shared" ref="AB22:AE22" si="62">SUM(AB23:AB27)</f>
        <v>33721.200000000004</v>
      </c>
      <c r="AC22" s="10">
        <f t="shared" si="62"/>
        <v>15162.300000000003</v>
      </c>
      <c r="AD22" s="10">
        <f t="shared" si="62"/>
        <v>19344.300000000003</v>
      </c>
      <c r="AE22" s="10">
        <f t="shared" si="62"/>
        <v>25474.500000000004</v>
      </c>
      <c r="AF22" s="10">
        <f t="shared" ref="AF22:AH22" si="63">SUM(AF23:AF27)</f>
        <v>26351.700000000004</v>
      </c>
      <c r="AG22" s="39">
        <f t="shared" si="63"/>
        <v>2.83</v>
      </c>
      <c r="AH22" s="10">
        <f t="shared" si="63"/>
        <v>11400.371999999999</v>
      </c>
    </row>
    <row r="23" spans="1:34" s="1" customFormat="1">
      <c r="A23" s="60" t="s">
        <v>38</v>
      </c>
      <c r="B23" s="56"/>
      <c r="C23" s="56"/>
      <c r="D23" s="56"/>
      <c r="E23" s="56"/>
      <c r="F23" s="56"/>
      <c r="G23" s="27" t="s">
        <v>4</v>
      </c>
      <c r="H23" s="27">
        <v>1.02</v>
      </c>
      <c r="I23" s="9">
        <f>1.02*12*I35</f>
        <v>5661</v>
      </c>
      <c r="J23" s="9">
        <f t="shared" ref="J23:K23" si="64">1.02*12*J35</f>
        <v>6127.3440000000001</v>
      </c>
      <c r="K23" s="9">
        <f t="shared" si="64"/>
        <v>4955.9759999999997</v>
      </c>
      <c r="L23" s="9">
        <f t="shared" ref="L23" si="65">1.02*12*L35</f>
        <v>6411.3119999999999</v>
      </c>
      <c r="M23" s="9">
        <f>1.02*12*M35</f>
        <v>6470.0640000000003</v>
      </c>
      <c r="N23" s="9">
        <f t="shared" ref="N23:P23" si="66">1.02*12*N35</f>
        <v>4941.2879999999996</v>
      </c>
      <c r="O23" s="9">
        <f t="shared" si="66"/>
        <v>4920.4800000000005</v>
      </c>
      <c r="P23" s="9">
        <f t="shared" si="66"/>
        <v>4131</v>
      </c>
      <c r="Q23" s="9">
        <f>1.02*12*Q35</f>
        <v>6122.4480000000003</v>
      </c>
      <c r="R23" s="9">
        <f t="shared" ref="R23:T23" si="67">1.02*12*R35</f>
        <v>8556.9840000000004</v>
      </c>
      <c r="S23" s="9">
        <f t="shared" si="67"/>
        <v>7295.04</v>
      </c>
      <c r="T23" s="9">
        <f t="shared" si="67"/>
        <v>8956.0079999999998</v>
      </c>
      <c r="U23" s="38">
        <v>0.51</v>
      </c>
      <c r="V23" s="9">
        <f t="shared" ref="V23:AF23" si="68">0.51*12*V35</f>
        <v>3212.3879999999999</v>
      </c>
      <c r="W23" s="9">
        <f t="shared" si="68"/>
        <v>2052.6479999999997</v>
      </c>
      <c r="X23" s="9">
        <f t="shared" si="68"/>
        <v>2107.7280000000001</v>
      </c>
      <c r="Y23" s="9">
        <f t="shared" si="68"/>
        <v>2877.0120000000002</v>
      </c>
      <c r="Z23" s="9">
        <f t="shared" si="68"/>
        <v>2509.1999999999998</v>
      </c>
      <c r="AA23" s="9">
        <f t="shared" si="68"/>
        <v>3205.0440000000003</v>
      </c>
      <c r="AB23" s="9">
        <f t="shared" si="68"/>
        <v>4046.5440000000003</v>
      </c>
      <c r="AC23" s="9">
        <f t="shared" si="68"/>
        <v>1819.4760000000001</v>
      </c>
      <c r="AD23" s="9">
        <f t="shared" si="68"/>
        <v>2321.3160000000003</v>
      </c>
      <c r="AE23" s="9">
        <f t="shared" si="68"/>
        <v>3056.94</v>
      </c>
      <c r="AF23" s="9">
        <f t="shared" si="68"/>
        <v>3162.2040000000002</v>
      </c>
      <c r="AG23" s="38">
        <v>0.51</v>
      </c>
      <c r="AH23" s="9">
        <f>0.51*12*AH35</f>
        <v>2054.4839999999999</v>
      </c>
    </row>
    <row r="24" spans="1:34" s="1" customFormat="1" ht="25.5" customHeight="1">
      <c r="A24" s="60" t="s">
        <v>28</v>
      </c>
      <c r="B24" s="56"/>
      <c r="C24" s="56"/>
      <c r="D24" s="56"/>
      <c r="E24" s="56"/>
      <c r="F24" s="56"/>
      <c r="G24" s="27" t="s">
        <v>3</v>
      </c>
      <c r="H24" s="27">
        <v>0</v>
      </c>
      <c r="I24" s="9">
        <f>0*1242*I35</f>
        <v>0</v>
      </c>
      <c r="J24" s="9">
        <f t="shared" ref="J24:K24" si="69">0*1242*J35</f>
        <v>0</v>
      </c>
      <c r="K24" s="9">
        <f t="shared" si="69"/>
        <v>0</v>
      </c>
      <c r="L24" s="9">
        <f t="shared" ref="L24" si="70">0*1242*L35</f>
        <v>0</v>
      </c>
      <c r="M24" s="9">
        <f>0*1242*M35</f>
        <v>0</v>
      </c>
      <c r="N24" s="9">
        <f t="shared" ref="N24:P24" si="71">0*1242*N35</f>
        <v>0</v>
      </c>
      <c r="O24" s="9">
        <f t="shared" si="71"/>
        <v>0</v>
      </c>
      <c r="P24" s="9">
        <f t="shared" si="71"/>
        <v>0</v>
      </c>
      <c r="Q24" s="9">
        <f>0*1242*Q35</f>
        <v>0</v>
      </c>
      <c r="R24" s="9">
        <f t="shared" ref="R24:T24" si="72">0*1242*R35</f>
        <v>0</v>
      </c>
      <c r="S24" s="9">
        <f t="shared" si="72"/>
        <v>0</v>
      </c>
      <c r="T24" s="9">
        <f t="shared" si="72"/>
        <v>0</v>
      </c>
      <c r="U24" s="38">
        <v>0</v>
      </c>
      <c r="V24" s="9">
        <f t="shared" ref="V24:W24" si="73">0*12*V35</f>
        <v>0</v>
      </c>
      <c r="W24" s="9">
        <f t="shared" si="73"/>
        <v>0</v>
      </c>
      <c r="X24" s="9">
        <f t="shared" ref="X24:AB24" si="74">0*12*X35</f>
        <v>0</v>
      </c>
      <c r="Y24" s="9">
        <f t="shared" si="74"/>
        <v>0</v>
      </c>
      <c r="Z24" s="9">
        <f t="shared" si="74"/>
        <v>0</v>
      </c>
      <c r="AA24" s="9">
        <f t="shared" si="74"/>
        <v>0</v>
      </c>
      <c r="AB24" s="9">
        <f t="shared" si="74"/>
        <v>0</v>
      </c>
      <c r="AC24" s="9">
        <f t="shared" ref="AC24:AE24" si="75">0*12*AC35</f>
        <v>0</v>
      </c>
      <c r="AD24" s="9">
        <f t="shared" si="75"/>
        <v>0</v>
      </c>
      <c r="AE24" s="9">
        <f t="shared" si="75"/>
        <v>0</v>
      </c>
      <c r="AF24" s="9">
        <f t="shared" ref="AF24" si="76">0*12*AF35</f>
        <v>0</v>
      </c>
      <c r="AG24" s="38">
        <v>0</v>
      </c>
      <c r="AH24" s="9">
        <f t="shared" ref="AH24" si="77">0*12*AH35</f>
        <v>0</v>
      </c>
    </row>
    <row r="25" spans="1:34" s="1" customFormat="1" ht="25.5" customHeight="1">
      <c r="A25" s="60" t="s">
        <v>29</v>
      </c>
      <c r="B25" s="60"/>
      <c r="C25" s="60"/>
      <c r="D25" s="60"/>
      <c r="E25" s="60"/>
      <c r="F25" s="60"/>
      <c r="G25" s="27" t="s">
        <v>8</v>
      </c>
      <c r="H25" s="27">
        <v>0</v>
      </c>
      <c r="I25" s="9">
        <f>0*12*I35</f>
        <v>0</v>
      </c>
      <c r="J25" s="9">
        <f t="shared" ref="J25:K25" si="78">0*12*J35</f>
        <v>0</v>
      </c>
      <c r="K25" s="9">
        <f t="shared" si="78"/>
        <v>0</v>
      </c>
      <c r="L25" s="9">
        <f t="shared" ref="L25" si="79">0*12*L35</f>
        <v>0</v>
      </c>
      <c r="M25" s="9">
        <f>0*12*M35</f>
        <v>0</v>
      </c>
      <c r="N25" s="9">
        <f t="shared" ref="N25:P25" si="80">0*12*N35</f>
        <v>0</v>
      </c>
      <c r="O25" s="9">
        <f t="shared" si="80"/>
        <v>0</v>
      </c>
      <c r="P25" s="9">
        <f t="shared" si="80"/>
        <v>0</v>
      </c>
      <c r="Q25" s="9">
        <f>0*12*Q35</f>
        <v>0</v>
      </c>
      <c r="R25" s="9">
        <f t="shared" ref="R25:T25" si="81">0*12*R35</f>
        <v>0</v>
      </c>
      <c r="S25" s="9">
        <f t="shared" si="81"/>
        <v>0</v>
      </c>
      <c r="T25" s="9">
        <f t="shared" si="81"/>
        <v>0</v>
      </c>
      <c r="U25" s="38">
        <v>0</v>
      </c>
      <c r="V25" s="9">
        <f t="shared" ref="V25:W25" si="82">0*12*V35</f>
        <v>0</v>
      </c>
      <c r="W25" s="9">
        <f t="shared" si="82"/>
        <v>0</v>
      </c>
      <c r="X25" s="9">
        <f t="shared" ref="X25:AB25" si="83">0*12*X35</f>
        <v>0</v>
      </c>
      <c r="Y25" s="9">
        <f t="shared" si="83"/>
        <v>0</v>
      </c>
      <c r="Z25" s="9">
        <f t="shared" si="83"/>
        <v>0</v>
      </c>
      <c r="AA25" s="9">
        <f t="shared" si="83"/>
        <v>0</v>
      </c>
      <c r="AB25" s="9">
        <f t="shared" si="83"/>
        <v>0</v>
      </c>
      <c r="AC25" s="9">
        <f t="shared" ref="AC25:AE25" si="84">0*12*AC35</f>
        <v>0</v>
      </c>
      <c r="AD25" s="9">
        <f t="shared" si="84"/>
        <v>0</v>
      </c>
      <c r="AE25" s="9">
        <f t="shared" si="84"/>
        <v>0</v>
      </c>
      <c r="AF25" s="9">
        <f t="shared" ref="AF25" si="85">0*12*AF35</f>
        <v>0</v>
      </c>
      <c r="AG25" s="38">
        <v>0</v>
      </c>
      <c r="AH25" s="9">
        <f t="shared" ref="AH25" si="86">0*12*AH35</f>
        <v>0</v>
      </c>
    </row>
    <row r="26" spans="1:34" s="1" customFormat="1" ht="57" customHeight="1">
      <c r="A26" s="60" t="s">
        <v>30</v>
      </c>
      <c r="B26" s="60"/>
      <c r="C26" s="60"/>
      <c r="D26" s="60"/>
      <c r="E26" s="60"/>
      <c r="F26" s="60"/>
      <c r="G26" s="29" t="s">
        <v>9</v>
      </c>
      <c r="H26" s="27">
        <f>0.03+0.01</f>
        <v>0.04</v>
      </c>
      <c r="I26" s="9">
        <f>0.04*12*I35</f>
        <v>222</v>
      </c>
      <c r="J26" s="9">
        <f t="shared" ref="J26:K26" si="87">0.04*12*J35</f>
        <v>240.28800000000001</v>
      </c>
      <c r="K26" s="9">
        <f t="shared" si="87"/>
        <v>194.35199999999998</v>
      </c>
      <c r="L26" s="9">
        <f t="shared" ref="L26" si="88">0.04*12*L35</f>
        <v>251.42399999999998</v>
      </c>
      <c r="M26" s="9">
        <f>0.04*12*M35</f>
        <v>253.72800000000001</v>
      </c>
      <c r="N26" s="9">
        <f t="shared" ref="N26:P26" si="89">0.04*12*N35</f>
        <v>193.77599999999998</v>
      </c>
      <c r="O26" s="9">
        <f t="shared" si="89"/>
        <v>192.95999999999998</v>
      </c>
      <c r="P26" s="9">
        <f t="shared" si="89"/>
        <v>162</v>
      </c>
      <c r="Q26" s="9">
        <f>0.04*12*Q35</f>
        <v>240.09599999999998</v>
      </c>
      <c r="R26" s="9">
        <f t="shared" ref="R26:T26" si="90">0.04*12*R35</f>
        <v>335.56799999999998</v>
      </c>
      <c r="S26" s="9">
        <f t="shared" si="90"/>
        <v>286.08</v>
      </c>
      <c r="T26" s="9">
        <f t="shared" si="90"/>
        <v>351.21600000000001</v>
      </c>
      <c r="U26" s="38">
        <v>0.04</v>
      </c>
      <c r="V26" s="9">
        <f t="shared" ref="V26:W26" si="91">0.04*12*V35</f>
        <v>251.95199999999997</v>
      </c>
      <c r="W26" s="9">
        <f t="shared" si="91"/>
        <v>160.99199999999999</v>
      </c>
      <c r="X26" s="9">
        <f t="shared" ref="X26:AB26" si="92">0.04*12*X35</f>
        <v>165.31199999999998</v>
      </c>
      <c r="Y26" s="9">
        <f t="shared" si="92"/>
        <v>225.648</v>
      </c>
      <c r="Z26" s="9">
        <f t="shared" si="92"/>
        <v>196.79999999999998</v>
      </c>
      <c r="AA26" s="9">
        <f t="shared" si="92"/>
        <v>251.376</v>
      </c>
      <c r="AB26" s="9">
        <f t="shared" si="92"/>
        <v>317.37600000000003</v>
      </c>
      <c r="AC26" s="9">
        <f t="shared" ref="AC26:AE26" si="93">0.04*12*AC35</f>
        <v>142.70400000000001</v>
      </c>
      <c r="AD26" s="9">
        <f t="shared" si="93"/>
        <v>182.06399999999999</v>
      </c>
      <c r="AE26" s="9">
        <f t="shared" si="93"/>
        <v>239.76</v>
      </c>
      <c r="AF26" s="9">
        <f t="shared" ref="AF26" si="94">0.04*12*AF35</f>
        <v>248.01600000000002</v>
      </c>
      <c r="AG26" s="38">
        <v>0.04</v>
      </c>
      <c r="AH26" s="9">
        <f t="shared" ref="AH26" si="95">0.04*12*AH35</f>
        <v>161.136</v>
      </c>
    </row>
    <row r="27" spans="1:34" s="1" customFormat="1" ht="85.5" customHeight="1">
      <c r="A27" s="60" t="s">
        <v>47</v>
      </c>
      <c r="B27" s="60"/>
      <c r="C27" s="60"/>
      <c r="D27" s="60"/>
      <c r="E27" s="60"/>
      <c r="F27" s="60"/>
      <c r="G27" s="27" t="s">
        <v>8</v>
      </c>
      <c r="H27" s="27">
        <f>0.32+0.18+0.38</f>
        <v>0.88</v>
      </c>
      <c r="I27" s="9">
        <f>0.88*12*I35</f>
        <v>4884</v>
      </c>
      <c r="J27" s="9">
        <f t="shared" ref="J27:K27" si="96">0.88*12*J35</f>
        <v>5286.3360000000002</v>
      </c>
      <c r="K27" s="9">
        <f t="shared" si="96"/>
        <v>4275.7439999999997</v>
      </c>
      <c r="L27" s="9">
        <f t="shared" ref="L27" si="97">0.88*12*L35</f>
        <v>5531.3279999999995</v>
      </c>
      <c r="M27" s="9">
        <f>0.88*12*M35</f>
        <v>5582.0160000000005</v>
      </c>
      <c r="N27" s="9">
        <f t="shared" ref="N27:P27" si="98">0.88*12*N35</f>
        <v>4263.0720000000001</v>
      </c>
      <c r="O27" s="9">
        <f t="shared" si="98"/>
        <v>4245.12</v>
      </c>
      <c r="P27" s="9">
        <f t="shared" si="98"/>
        <v>3564</v>
      </c>
      <c r="Q27" s="9">
        <f>0.88*12*Q35</f>
        <v>5282.1120000000001</v>
      </c>
      <c r="R27" s="9">
        <f t="shared" ref="R27:T27" si="99">0.88*12*R35</f>
        <v>7382.496000000001</v>
      </c>
      <c r="S27" s="9">
        <f t="shared" si="99"/>
        <v>6293.76</v>
      </c>
      <c r="T27" s="9">
        <f t="shared" si="99"/>
        <v>7726.7520000000004</v>
      </c>
      <c r="U27" s="38">
        <v>3.7</v>
      </c>
      <c r="V27" s="9">
        <f t="shared" ref="V27:AF27" si="100">3.7*12*V35</f>
        <v>23305.56</v>
      </c>
      <c r="W27" s="9">
        <f t="shared" si="100"/>
        <v>14891.76</v>
      </c>
      <c r="X27" s="9">
        <f t="shared" si="100"/>
        <v>15291.36</v>
      </c>
      <c r="Y27" s="9">
        <f t="shared" si="100"/>
        <v>20872.440000000002</v>
      </c>
      <c r="Z27" s="9">
        <f t="shared" si="100"/>
        <v>18204.000000000004</v>
      </c>
      <c r="AA27" s="9">
        <f t="shared" si="100"/>
        <v>23252.280000000006</v>
      </c>
      <c r="AB27" s="9">
        <f t="shared" si="100"/>
        <v>29357.280000000006</v>
      </c>
      <c r="AC27" s="9">
        <f t="shared" si="100"/>
        <v>13200.120000000003</v>
      </c>
      <c r="AD27" s="9">
        <f t="shared" si="100"/>
        <v>16840.920000000002</v>
      </c>
      <c r="AE27" s="9">
        <f t="shared" si="100"/>
        <v>22177.800000000003</v>
      </c>
      <c r="AF27" s="9">
        <f t="shared" si="100"/>
        <v>22941.480000000003</v>
      </c>
      <c r="AG27" s="38">
        <v>2.2799999999999998</v>
      </c>
      <c r="AH27" s="9">
        <f>2.28*12*AH35</f>
        <v>9184.7520000000004</v>
      </c>
    </row>
    <row r="28" spans="1:34" s="1" customFormat="1">
      <c r="A28" s="67" t="s">
        <v>7</v>
      </c>
      <c r="B28" s="68"/>
      <c r="C28" s="68"/>
      <c r="D28" s="68"/>
      <c r="E28" s="68"/>
      <c r="F28" s="69"/>
      <c r="G28" s="28"/>
      <c r="H28" s="28">
        <f t="shared" ref="H28" si="101">SUM(H29:H33)</f>
        <v>11.659999999999997</v>
      </c>
      <c r="I28" s="10">
        <f t="shared" ref="I28:K28" si="102">SUM(I29:I33)</f>
        <v>64713</v>
      </c>
      <c r="J28" s="10">
        <f t="shared" si="102"/>
        <v>70043.95199999999</v>
      </c>
      <c r="K28" s="10">
        <f t="shared" si="102"/>
        <v>56653.608</v>
      </c>
      <c r="L28" s="10">
        <f t="shared" ref="L28:O28" si="103">SUM(L29:L33)</f>
        <v>73290.09599999999</v>
      </c>
      <c r="M28" s="10">
        <f t="shared" si="103"/>
        <v>73961.712</v>
      </c>
      <c r="N28" s="10">
        <f t="shared" si="103"/>
        <v>56485.703999999991</v>
      </c>
      <c r="O28" s="10">
        <f t="shared" si="103"/>
        <v>56247.839999999997</v>
      </c>
      <c r="P28" s="10">
        <f t="shared" ref="P28:V28" si="104">SUM(P29:P33)</f>
        <v>47222.999999999993</v>
      </c>
      <c r="Q28" s="10">
        <f t="shared" si="104"/>
        <v>69987.983999999997</v>
      </c>
      <c r="R28" s="10">
        <f t="shared" si="104"/>
        <v>97818.072</v>
      </c>
      <c r="S28" s="10">
        <f t="shared" si="104"/>
        <v>83392.319999999992</v>
      </c>
      <c r="T28" s="10">
        <f t="shared" si="104"/>
        <v>102379.46400000001</v>
      </c>
      <c r="U28" s="39">
        <f t="shared" si="104"/>
        <v>5.6499999999999995</v>
      </c>
      <c r="V28" s="10">
        <f t="shared" si="104"/>
        <v>35588.219999999994</v>
      </c>
      <c r="W28" s="10">
        <f t="shared" ref="W28:AA28" si="105">SUM(W29:W33)</f>
        <v>22740.119999999995</v>
      </c>
      <c r="X28" s="10">
        <f t="shared" si="105"/>
        <v>23350.319999999996</v>
      </c>
      <c r="Y28" s="10">
        <f t="shared" si="105"/>
        <v>31872.78</v>
      </c>
      <c r="Z28" s="10">
        <f t="shared" si="105"/>
        <v>27798.000000000004</v>
      </c>
      <c r="AA28" s="10">
        <f t="shared" si="105"/>
        <v>35506.860000000008</v>
      </c>
      <c r="AB28" s="10">
        <f t="shared" ref="AB28:AE28" si="106">SUM(AB29:AB33)</f>
        <v>44829.360000000008</v>
      </c>
      <c r="AC28" s="10">
        <f t="shared" si="106"/>
        <v>20156.939999999999</v>
      </c>
      <c r="AD28" s="10">
        <f t="shared" si="106"/>
        <v>25716.539999999997</v>
      </c>
      <c r="AE28" s="10">
        <f t="shared" si="106"/>
        <v>33866.100000000006</v>
      </c>
      <c r="AF28" s="10">
        <f t="shared" ref="AF28:AH28" si="107">SUM(AF29:AF33)</f>
        <v>35032.260000000009</v>
      </c>
      <c r="AG28" s="39">
        <f t="shared" si="107"/>
        <v>5.44</v>
      </c>
      <c r="AH28" s="10">
        <f t="shared" si="107"/>
        <v>21914.495999999999</v>
      </c>
    </row>
    <row r="29" spans="1:34" s="1" customFormat="1" ht="142.5" customHeight="1">
      <c r="A29" s="60" t="s">
        <v>39</v>
      </c>
      <c r="B29" s="60"/>
      <c r="C29" s="60"/>
      <c r="D29" s="60"/>
      <c r="E29" s="60"/>
      <c r="F29" s="60"/>
      <c r="G29" s="29" t="s">
        <v>44</v>
      </c>
      <c r="H29" s="27">
        <f>0.49+0.35+2.46+2.46+0.81+0.1+0.13+0.14+0.1+0.03+0.02+0.04+0.01</f>
        <v>7.1399999999999988</v>
      </c>
      <c r="I29" s="9">
        <f>7.14*12*I35</f>
        <v>39627</v>
      </c>
      <c r="J29" s="9">
        <f t="shared" ref="J29:K29" si="108">7.14*12*J35</f>
        <v>42891.407999999996</v>
      </c>
      <c r="K29" s="9">
        <f t="shared" si="108"/>
        <v>34691.831999999995</v>
      </c>
      <c r="L29" s="9">
        <f t="shared" ref="L29" si="109">7.14*12*L35</f>
        <v>44879.183999999994</v>
      </c>
      <c r="M29" s="9">
        <f>7.14*12*M35</f>
        <v>45290.447999999997</v>
      </c>
      <c r="N29" s="9">
        <f t="shared" ref="N29:P29" si="110">7.14*12*N35</f>
        <v>34589.015999999996</v>
      </c>
      <c r="O29" s="9">
        <f t="shared" si="110"/>
        <v>34443.360000000001</v>
      </c>
      <c r="P29" s="9">
        <f t="shared" si="110"/>
        <v>28916.999999999996</v>
      </c>
      <c r="Q29" s="9">
        <f>7.14*12*Q35</f>
        <v>42857.135999999999</v>
      </c>
      <c r="R29" s="9">
        <f t="shared" ref="R29:T29" si="111">7.14*12*R35</f>
        <v>59898.887999999999</v>
      </c>
      <c r="S29" s="9">
        <f t="shared" si="111"/>
        <v>51065.279999999999</v>
      </c>
      <c r="T29" s="9">
        <f t="shared" si="111"/>
        <v>62692.055999999997</v>
      </c>
      <c r="U29" s="38">
        <v>1.96</v>
      </c>
      <c r="V29" s="9">
        <f t="shared" ref="V29:AF29" si="112">1.96*12*V35</f>
        <v>12345.647999999999</v>
      </c>
      <c r="W29" s="9">
        <f t="shared" si="112"/>
        <v>7888.6079999999993</v>
      </c>
      <c r="X29" s="9">
        <f t="shared" si="112"/>
        <v>8100.2879999999996</v>
      </c>
      <c r="Y29" s="9">
        <f t="shared" si="112"/>
        <v>11056.752</v>
      </c>
      <c r="Z29" s="9">
        <f t="shared" si="112"/>
        <v>9643.2000000000007</v>
      </c>
      <c r="AA29" s="9">
        <f t="shared" si="112"/>
        <v>12317.424000000001</v>
      </c>
      <c r="AB29" s="9">
        <f t="shared" si="112"/>
        <v>15551.424000000001</v>
      </c>
      <c r="AC29" s="9">
        <f t="shared" si="112"/>
        <v>6992.4960000000001</v>
      </c>
      <c r="AD29" s="9">
        <f t="shared" si="112"/>
        <v>8921.1360000000004</v>
      </c>
      <c r="AE29" s="9">
        <f t="shared" si="112"/>
        <v>11748.24</v>
      </c>
      <c r="AF29" s="9">
        <f t="shared" si="112"/>
        <v>12152.784000000001</v>
      </c>
      <c r="AG29" s="38">
        <v>1.46</v>
      </c>
      <c r="AH29" s="9">
        <f>1.46*12*AH35</f>
        <v>5881.4639999999999</v>
      </c>
    </row>
    <row r="30" spans="1:34" s="1" customFormat="1" ht="84.75" customHeight="1">
      <c r="A30" s="56" t="s">
        <v>6</v>
      </c>
      <c r="B30" s="56"/>
      <c r="C30" s="56"/>
      <c r="D30" s="56"/>
      <c r="E30" s="56"/>
      <c r="F30" s="56"/>
      <c r="G30" s="29" t="s">
        <v>5</v>
      </c>
      <c r="H30" s="27">
        <v>1.4</v>
      </c>
      <c r="I30" s="9">
        <f>1.4*12*I35</f>
        <v>7769.9999999999991</v>
      </c>
      <c r="J30" s="9">
        <f t="shared" ref="J30:K30" si="113">1.4*12*J35</f>
        <v>8410.0799999999981</v>
      </c>
      <c r="K30" s="9">
        <f t="shared" si="113"/>
        <v>6802.3199999999988</v>
      </c>
      <c r="L30" s="9">
        <f t="shared" ref="L30" si="114">1.4*12*L35</f>
        <v>8799.8399999999983</v>
      </c>
      <c r="M30" s="9">
        <f>1.4*12*M35</f>
        <v>8880.48</v>
      </c>
      <c r="N30" s="9">
        <f t="shared" ref="N30:P30" si="115">1.4*12*N35</f>
        <v>6782.1599999999989</v>
      </c>
      <c r="O30" s="9">
        <f t="shared" si="115"/>
        <v>6753.5999999999985</v>
      </c>
      <c r="P30" s="9">
        <f t="shared" si="115"/>
        <v>5669.9999999999991</v>
      </c>
      <c r="Q30" s="9">
        <f>1.4*12*Q35</f>
        <v>8403.3599999999988</v>
      </c>
      <c r="R30" s="9">
        <f t="shared" ref="R30:T30" si="116">1.4*12*R35</f>
        <v>11744.88</v>
      </c>
      <c r="S30" s="9">
        <f t="shared" si="116"/>
        <v>10012.799999999997</v>
      </c>
      <c r="T30" s="9">
        <f t="shared" si="116"/>
        <v>12292.56</v>
      </c>
      <c r="U30" s="38">
        <v>1.39</v>
      </c>
      <c r="V30" s="9">
        <f t="shared" ref="V30:W30" si="117">1.39*12*V35</f>
        <v>8755.3320000000003</v>
      </c>
      <c r="W30" s="9">
        <f t="shared" si="117"/>
        <v>5594.4719999999998</v>
      </c>
      <c r="X30" s="9">
        <f t="shared" ref="X30:AB30" si="118">1.39*12*X35</f>
        <v>5744.5919999999996</v>
      </c>
      <c r="Y30" s="9">
        <f t="shared" si="118"/>
        <v>7841.268</v>
      </c>
      <c r="Z30" s="9">
        <f t="shared" si="118"/>
        <v>6838.8</v>
      </c>
      <c r="AA30" s="9">
        <f t="shared" si="118"/>
        <v>8735.3160000000007</v>
      </c>
      <c r="AB30" s="9">
        <f t="shared" si="118"/>
        <v>11028.816000000001</v>
      </c>
      <c r="AC30" s="9">
        <f t="shared" ref="AC30:AE30" si="119">1.39*12*AC35</f>
        <v>4958.9639999999999</v>
      </c>
      <c r="AD30" s="9">
        <f t="shared" si="119"/>
        <v>6326.7240000000002</v>
      </c>
      <c r="AE30" s="9">
        <f t="shared" si="119"/>
        <v>8331.66</v>
      </c>
      <c r="AF30" s="9">
        <f t="shared" ref="AF30" si="120">1.39*12*AF35</f>
        <v>8618.5560000000005</v>
      </c>
      <c r="AG30" s="38">
        <v>1.85</v>
      </c>
      <c r="AH30" s="9">
        <f>1.85*12*AH35</f>
        <v>7452.5400000000009</v>
      </c>
    </row>
    <row r="31" spans="1:34" s="1" customFormat="1" ht="21.75">
      <c r="A31" s="56" t="s">
        <v>37</v>
      </c>
      <c r="B31" s="56"/>
      <c r="C31" s="56"/>
      <c r="D31" s="56"/>
      <c r="E31" s="56"/>
      <c r="F31" s="56"/>
      <c r="G31" s="30" t="s">
        <v>45</v>
      </c>
      <c r="H31" s="27">
        <f>0.51+0.3+0.22+0.12+0.17+0.22</f>
        <v>1.5399999999999998</v>
      </c>
      <c r="I31" s="9">
        <f>1.54*12*I35</f>
        <v>8547</v>
      </c>
      <c r="J31" s="9">
        <f t="shared" ref="J31:K31" si="121">1.54*12*J35</f>
        <v>9251.0879999999997</v>
      </c>
      <c r="K31" s="9">
        <f t="shared" si="121"/>
        <v>7482.5519999999997</v>
      </c>
      <c r="L31" s="9">
        <f t="shared" ref="L31" si="122">1.54*12*L35</f>
        <v>9679.8239999999987</v>
      </c>
      <c r="M31" s="9">
        <f>1.54*12*M35</f>
        <v>9768.5280000000002</v>
      </c>
      <c r="N31" s="9">
        <f t="shared" ref="N31:P31" si="123">1.54*12*N35</f>
        <v>7460.3760000000002</v>
      </c>
      <c r="O31" s="9">
        <f t="shared" si="123"/>
        <v>7428.96</v>
      </c>
      <c r="P31" s="9">
        <f t="shared" si="123"/>
        <v>6237</v>
      </c>
      <c r="Q31" s="9">
        <f>1.54*12*Q35</f>
        <v>9243.6959999999999</v>
      </c>
      <c r="R31" s="9">
        <f t="shared" ref="R31:T31" si="124">1.54*12*R35</f>
        <v>12919.368</v>
      </c>
      <c r="S31" s="9">
        <f t="shared" si="124"/>
        <v>11014.08</v>
      </c>
      <c r="T31" s="9">
        <f t="shared" si="124"/>
        <v>13521.816000000001</v>
      </c>
      <c r="U31" s="38">
        <f>0.76+0.3+0.22+0.12+0.17</f>
        <v>1.5699999999999998</v>
      </c>
      <c r="V31" s="9">
        <f t="shared" ref="V31:W31" si="125">1.57*12*V35</f>
        <v>9889.116</v>
      </c>
      <c r="W31" s="9">
        <f t="shared" si="125"/>
        <v>6318.9359999999997</v>
      </c>
      <c r="X31" s="9">
        <f t="shared" ref="X31:AB31" si="126">1.57*12*X35</f>
        <v>6488.4959999999992</v>
      </c>
      <c r="Y31" s="9">
        <f t="shared" si="126"/>
        <v>8856.6840000000011</v>
      </c>
      <c r="Z31" s="9">
        <f t="shared" si="126"/>
        <v>7724.4</v>
      </c>
      <c r="AA31" s="9">
        <f t="shared" si="126"/>
        <v>9866.5080000000016</v>
      </c>
      <c r="AB31" s="9">
        <f t="shared" si="126"/>
        <v>12457.008000000002</v>
      </c>
      <c r="AC31" s="9">
        <f t="shared" ref="AC31:AE31" si="127">1.57*12*AC35</f>
        <v>5601.1320000000005</v>
      </c>
      <c r="AD31" s="9">
        <f t="shared" si="127"/>
        <v>7146.0119999999997</v>
      </c>
      <c r="AE31" s="9">
        <f t="shared" si="127"/>
        <v>9410.58</v>
      </c>
      <c r="AF31" s="9">
        <f t="shared" ref="AF31" si="128">1.57*12*AF35</f>
        <v>9734.6280000000006</v>
      </c>
      <c r="AG31" s="38">
        <v>1.4</v>
      </c>
      <c r="AH31" s="9">
        <f>1.4*12*AH35</f>
        <v>5639.7599999999993</v>
      </c>
    </row>
    <row r="32" spans="1:34" s="1" customFormat="1">
      <c r="A32" s="56" t="s">
        <v>50</v>
      </c>
      <c r="B32" s="56"/>
      <c r="C32" s="56"/>
      <c r="D32" s="56"/>
      <c r="E32" s="56"/>
      <c r="F32" s="56"/>
      <c r="G32" s="27" t="s">
        <v>4</v>
      </c>
      <c r="H32" s="27">
        <v>0.87</v>
      </c>
      <c r="I32" s="9">
        <f>0.87*12*I35</f>
        <v>4828.5</v>
      </c>
      <c r="J32" s="9">
        <f t="shared" ref="J32:K32" si="129">0.87*12*J35</f>
        <v>5226.2640000000001</v>
      </c>
      <c r="K32" s="9">
        <f t="shared" si="129"/>
        <v>4227.1559999999999</v>
      </c>
      <c r="L32" s="9">
        <f t="shared" ref="L32" si="130">0.87*12*L35</f>
        <v>5468.4719999999988</v>
      </c>
      <c r="M32" s="9">
        <f>0.87*12*M35</f>
        <v>5518.5839999999998</v>
      </c>
      <c r="N32" s="9">
        <f t="shared" ref="N32:P32" si="131">0.87*12*N35</f>
        <v>4214.6279999999997</v>
      </c>
      <c r="O32" s="9">
        <f t="shared" si="131"/>
        <v>4196.88</v>
      </c>
      <c r="P32" s="9">
        <f t="shared" si="131"/>
        <v>3523.5</v>
      </c>
      <c r="Q32" s="9">
        <f>0.87*12*Q35</f>
        <v>5222.0879999999997</v>
      </c>
      <c r="R32" s="9">
        <f t="shared" ref="R32:T32" si="132">0.87*12*R35</f>
        <v>7298.6040000000003</v>
      </c>
      <c r="S32" s="9">
        <f t="shared" si="132"/>
        <v>6222.24</v>
      </c>
      <c r="T32" s="9">
        <f t="shared" si="132"/>
        <v>7638.9480000000003</v>
      </c>
      <c r="U32" s="38">
        <v>0.52</v>
      </c>
      <c r="V32" s="9">
        <f t="shared" ref="V32:AF32" si="133">0.52*12*V35</f>
        <v>3275.3759999999997</v>
      </c>
      <c r="W32" s="9">
        <f t="shared" si="133"/>
        <v>2092.8959999999997</v>
      </c>
      <c r="X32" s="9">
        <f t="shared" si="133"/>
        <v>2149.056</v>
      </c>
      <c r="Y32" s="9">
        <f t="shared" si="133"/>
        <v>2933.4240000000004</v>
      </c>
      <c r="Z32" s="9">
        <f t="shared" si="133"/>
        <v>2558.4</v>
      </c>
      <c r="AA32" s="9">
        <f t="shared" si="133"/>
        <v>3267.8880000000004</v>
      </c>
      <c r="AB32" s="9">
        <f t="shared" si="133"/>
        <v>4125.8880000000008</v>
      </c>
      <c r="AC32" s="9">
        <f t="shared" si="133"/>
        <v>1855.152</v>
      </c>
      <c r="AD32" s="9">
        <f t="shared" si="133"/>
        <v>2366.8320000000003</v>
      </c>
      <c r="AE32" s="9">
        <f t="shared" si="133"/>
        <v>3116.88</v>
      </c>
      <c r="AF32" s="9">
        <f t="shared" si="133"/>
        <v>3224.2080000000005</v>
      </c>
      <c r="AG32" s="38">
        <v>0.52</v>
      </c>
      <c r="AH32" s="9">
        <f>0.52*12*AH35</f>
        <v>2094.768</v>
      </c>
    </row>
    <row r="33" spans="1:37" s="1" customFormat="1">
      <c r="A33" s="56" t="s">
        <v>51</v>
      </c>
      <c r="B33" s="56"/>
      <c r="C33" s="56"/>
      <c r="D33" s="56"/>
      <c r="E33" s="56"/>
      <c r="F33" s="56"/>
      <c r="G33" s="27" t="s">
        <v>8</v>
      </c>
      <c r="H33" s="27">
        <v>0.71</v>
      </c>
      <c r="I33" s="9">
        <f>0.71*12*I35</f>
        <v>3940.5</v>
      </c>
      <c r="J33" s="9">
        <f t="shared" ref="J33:K33" si="134">0.71*12*J35</f>
        <v>4265.1120000000001</v>
      </c>
      <c r="K33" s="9">
        <f t="shared" si="134"/>
        <v>3449.7479999999996</v>
      </c>
      <c r="L33" s="9">
        <f t="shared" ref="L33" si="135">0.71*12*L35</f>
        <v>4462.7759999999998</v>
      </c>
      <c r="M33" s="9">
        <f>0.71*12*M35</f>
        <v>4503.6719999999996</v>
      </c>
      <c r="N33" s="9">
        <f t="shared" ref="N33:P33" si="136">0.71*12*N35</f>
        <v>3439.5239999999999</v>
      </c>
      <c r="O33" s="9">
        <f t="shared" si="136"/>
        <v>3425.04</v>
      </c>
      <c r="P33" s="9">
        <f t="shared" si="136"/>
        <v>2875.5</v>
      </c>
      <c r="Q33" s="9">
        <f>0.71*12*Q35</f>
        <v>4261.7039999999997</v>
      </c>
      <c r="R33" s="9">
        <f t="shared" ref="R33:T33" si="137">0.71*12*R35</f>
        <v>5956.3320000000003</v>
      </c>
      <c r="S33" s="9">
        <f t="shared" si="137"/>
        <v>5077.92</v>
      </c>
      <c r="T33" s="9">
        <f t="shared" si="137"/>
        <v>6234.0839999999998</v>
      </c>
      <c r="U33" s="38">
        <v>0.21</v>
      </c>
      <c r="V33" s="9">
        <f t="shared" ref="V33:AF33" si="138">0.21*12*V35</f>
        <v>1322.748</v>
      </c>
      <c r="W33" s="9">
        <f t="shared" si="138"/>
        <v>845.20799999999997</v>
      </c>
      <c r="X33" s="9">
        <f t="shared" si="138"/>
        <v>867.88799999999992</v>
      </c>
      <c r="Y33" s="9">
        <f t="shared" si="138"/>
        <v>1184.652</v>
      </c>
      <c r="Z33" s="9">
        <f t="shared" si="138"/>
        <v>1033.2</v>
      </c>
      <c r="AA33" s="9">
        <f t="shared" si="138"/>
        <v>1319.7240000000002</v>
      </c>
      <c r="AB33" s="9">
        <f t="shared" si="138"/>
        <v>1666.2240000000002</v>
      </c>
      <c r="AC33" s="9">
        <f t="shared" si="138"/>
        <v>749.19600000000003</v>
      </c>
      <c r="AD33" s="9">
        <f t="shared" si="138"/>
        <v>955.83600000000001</v>
      </c>
      <c r="AE33" s="9">
        <f t="shared" si="138"/>
        <v>1258.74</v>
      </c>
      <c r="AF33" s="9">
        <f t="shared" si="138"/>
        <v>1302.0840000000001</v>
      </c>
      <c r="AG33" s="38">
        <v>0.21</v>
      </c>
      <c r="AH33" s="9">
        <f>0.21*12*AH35</f>
        <v>845.96399999999994</v>
      </c>
    </row>
    <row r="34" spans="1:37" s="1" customFormat="1">
      <c r="A34" s="53" t="s">
        <v>2</v>
      </c>
      <c r="B34" s="54"/>
      <c r="C34" s="54"/>
      <c r="D34" s="54"/>
      <c r="E34" s="54"/>
      <c r="F34" s="55"/>
      <c r="G34" s="31"/>
      <c r="H34" s="31"/>
      <c r="I34" s="12">
        <f>I14+I22+I28</f>
        <v>101287.5</v>
      </c>
      <c r="J34" s="12">
        <f t="shared" ref="J34:K34" si="139">J14+J22+J28</f>
        <v>109631.4</v>
      </c>
      <c r="K34" s="12">
        <f t="shared" si="139"/>
        <v>88673.1</v>
      </c>
      <c r="L34" s="12">
        <f t="shared" ref="L34" si="140">L14+L22+L28</f>
        <v>114712.19999999998</v>
      </c>
      <c r="M34" s="12">
        <f>M14+M22+M28</f>
        <v>115763.4</v>
      </c>
      <c r="N34" s="12">
        <f t="shared" ref="N34:P34" si="141">N14+N22+N28</f>
        <v>88410.299999999988</v>
      </c>
      <c r="O34" s="12">
        <f t="shared" si="141"/>
        <v>88038</v>
      </c>
      <c r="P34" s="12">
        <f t="shared" si="141"/>
        <v>73912.5</v>
      </c>
      <c r="Q34" s="12">
        <f>Q14+Q22+Q28</f>
        <v>109543.8</v>
      </c>
      <c r="R34" s="12">
        <f t="shared" ref="R34:T34" si="142">R14+R22+R28</f>
        <v>153102.9</v>
      </c>
      <c r="S34" s="12">
        <f t="shared" si="142"/>
        <v>130524</v>
      </c>
      <c r="T34" s="12">
        <f t="shared" si="142"/>
        <v>160242.30000000002</v>
      </c>
      <c r="U34" s="43"/>
      <c r="V34" s="12">
        <f t="shared" ref="V34:W34" si="143">V14+V22+V28</f>
        <v>113819.31599999999</v>
      </c>
      <c r="W34" s="12">
        <f t="shared" si="143"/>
        <v>72728.135999999999</v>
      </c>
      <c r="X34" s="12">
        <f t="shared" ref="X34:AB34" si="144">X14+X22+X28</f>
        <v>74679.695999999996</v>
      </c>
      <c r="Y34" s="12">
        <f t="shared" si="144"/>
        <v>101936.484</v>
      </c>
      <c r="Z34" s="12">
        <f t="shared" si="144"/>
        <v>88904.4</v>
      </c>
      <c r="AA34" s="12">
        <f t="shared" si="144"/>
        <v>113559.10800000004</v>
      </c>
      <c r="AB34" s="12">
        <f t="shared" si="144"/>
        <v>143374.60800000001</v>
      </c>
      <c r="AC34" s="12">
        <f t="shared" ref="AC34:AE34" si="145">AC14+AC22+AC28</f>
        <v>64466.532000000007</v>
      </c>
      <c r="AD34" s="12">
        <f t="shared" si="145"/>
        <v>82247.411999999997</v>
      </c>
      <c r="AE34" s="12">
        <f t="shared" si="145"/>
        <v>108311.58</v>
      </c>
      <c r="AF34" s="12">
        <f t="shared" ref="AF34" si="146">AF14+AF22+AF28</f>
        <v>112041.22800000002</v>
      </c>
      <c r="AG34" s="52"/>
      <c r="AH34" s="12">
        <f t="shared" ref="AH34" si="147">AH14+AH22+AH28</f>
        <v>85039.524000000005</v>
      </c>
      <c r="AI34" s="20">
        <f>SUM(I34:AH34)</f>
        <v>2494949.4240000001</v>
      </c>
      <c r="AJ34" s="1">
        <f>AI34/12*0.05</f>
        <v>10395.622600000002</v>
      </c>
    </row>
    <row r="35" spans="1:37" s="14" customFormat="1">
      <c r="A35" s="70" t="s">
        <v>1</v>
      </c>
      <c r="B35" s="70"/>
      <c r="C35" s="70"/>
      <c r="D35" s="70"/>
      <c r="E35" s="70"/>
      <c r="F35" s="70"/>
      <c r="G35" s="32"/>
      <c r="H35" s="41"/>
      <c r="I35" s="22" t="s">
        <v>73</v>
      </c>
      <c r="J35" s="22" t="s">
        <v>74</v>
      </c>
      <c r="K35" s="22" t="s">
        <v>75</v>
      </c>
      <c r="L35" s="22" t="s">
        <v>76</v>
      </c>
      <c r="M35" s="22" t="s">
        <v>77</v>
      </c>
      <c r="N35" s="22" t="s">
        <v>78</v>
      </c>
      <c r="O35" s="22" t="s">
        <v>79</v>
      </c>
      <c r="P35" s="22" t="s">
        <v>80</v>
      </c>
      <c r="Q35" s="22" t="s">
        <v>81</v>
      </c>
      <c r="R35" s="22" t="s">
        <v>82</v>
      </c>
      <c r="S35" s="22" t="s">
        <v>83</v>
      </c>
      <c r="T35" s="22" t="s">
        <v>84</v>
      </c>
      <c r="U35" s="49"/>
      <c r="V35" s="44" t="s">
        <v>97</v>
      </c>
      <c r="W35" s="44" t="s">
        <v>98</v>
      </c>
      <c r="X35" s="44" t="s">
        <v>99</v>
      </c>
      <c r="Y35" s="44" t="s">
        <v>100</v>
      </c>
      <c r="Z35" s="44" t="s">
        <v>101</v>
      </c>
      <c r="AA35" s="44" t="s">
        <v>102</v>
      </c>
      <c r="AB35" s="44" t="s">
        <v>103</v>
      </c>
      <c r="AC35" s="44" t="s">
        <v>104</v>
      </c>
      <c r="AD35" s="44" t="s">
        <v>105</v>
      </c>
      <c r="AE35" s="44" t="s">
        <v>106</v>
      </c>
      <c r="AF35" s="44" t="s">
        <v>107</v>
      </c>
      <c r="AG35" s="49"/>
      <c r="AH35" s="44" t="s">
        <v>110</v>
      </c>
      <c r="AI35" s="1"/>
      <c r="AJ35" s="1"/>
      <c r="AK35" s="1"/>
    </row>
    <row r="36" spans="1:37" s="2" customFormat="1" ht="25.5" customHeight="1">
      <c r="A36" s="64" t="s">
        <v>49</v>
      </c>
      <c r="B36" s="65"/>
      <c r="C36" s="65"/>
      <c r="D36" s="65"/>
      <c r="E36" s="65"/>
      <c r="F36" s="66"/>
      <c r="G36" s="33"/>
      <c r="H36" s="36">
        <f>H14+H22+H28</f>
        <v>18.249999999999996</v>
      </c>
      <c r="I36" s="13">
        <f>I34 /12/I35</f>
        <v>18.25</v>
      </c>
      <c r="J36" s="13">
        <f t="shared" ref="J36:K36" si="148">J34 /12/J35</f>
        <v>18.249999999999996</v>
      </c>
      <c r="K36" s="13">
        <f t="shared" si="148"/>
        <v>18.25</v>
      </c>
      <c r="L36" s="13">
        <f t="shared" ref="L36" si="149">L34 /12/L35</f>
        <v>18.25</v>
      </c>
      <c r="M36" s="13">
        <f>M34 /12/M35</f>
        <v>18.249999999999996</v>
      </c>
      <c r="N36" s="13">
        <f t="shared" ref="N36:P36" si="150">N34 /12/N35</f>
        <v>18.249999999999996</v>
      </c>
      <c r="O36" s="13">
        <f t="shared" si="150"/>
        <v>18.25</v>
      </c>
      <c r="P36" s="13">
        <f t="shared" si="150"/>
        <v>18.25</v>
      </c>
      <c r="Q36" s="13">
        <f>Q34 /12/Q35</f>
        <v>18.25</v>
      </c>
      <c r="R36" s="13">
        <f t="shared" ref="R36:T36" si="151">R34 /12/R35</f>
        <v>18.249999999999996</v>
      </c>
      <c r="S36" s="13">
        <f t="shared" si="151"/>
        <v>18.25</v>
      </c>
      <c r="T36" s="13">
        <f t="shared" si="151"/>
        <v>18.25</v>
      </c>
      <c r="U36" s="50">
        <f t="shared" ref="U36" si="152">U14+U22+U28</f>
        <v>18.07</v>
      </c>
      <c r="V36" s="45">
        <f t="shared" ref="V36:W36" si="153">V34/12/V35</f>
        <v>18.07</v>
      </c>
      <c r="W36" s="45">
        <f t="shared" si="153"/>
        <v>18.07</v>
      </c>
      <c r="X36" s="45">
        <f t="shared" ref="X36:AB36" si="154">X34/12/X35</f>
        <v>18.07</v>
      </c>
      <c r="Y36" s="45">
        <f t="shared" si="154"/>
        <v>18.07</v>
      </c>
      <c r="Z36" s="45">
        <f t="shared" si="154"/>
        <v>18.07</v>
      </c>
      <c r="AA36" s="45">
        <f t="shared" si="154"/>
        <v>18.070000000000004</v>
      </c>
      <c r="AB36" s="45">
        <f t="shared" si="154"/>
        <v>18.07</v>
      </c>
      <c r="AC36" s="45">
        <f t="shared" ref="AC36:AE36" si="155">AC34/12/AC35</f>
        <v>18.07</v>
      </c>
      <c r="AD36" s="45">
        <f t="shared" si="155"/>
        <v>18.07</v>
      </c>
      <c r="AE36" s="45">
        <f t="shared" si="155"/>
        <v>18.07</v>
      </c>
      <c r="AF36" s="45">
        <f t="shared" ref="AF36" si="156">AF34/12/AF35</f>
        <v>18.070000000000004</v>
      </c>
      <c r="AG36" s="50">
        <f t="shared" ref="AG36" si="157">AG14+AG22+AG28</f>
        <v>21.11</v>
      </c>
      <c r="AH36" s="45">
        <f t="shared" ref="AH36" si="158">AH34/12/AH35</f>
        <v>21.110000000000003</v>
      </c>
      <c r="AI36" s="14"/>
      <c r="AJ36" s="14"/>
      <c r="AK36" s="14"/>
    </row>
    <row r="37" spans="1:37" s="2" customFormat="1" ht="25.5" customHeight="1">
      <c r="A37" s="23"/>
      <c r="B37" s="23"/>
      <c r="C37" s="23"/>
      <c r="D37" s="23"/>
      <c r="E37" s="23"/>
      <c r="F37" s="23"/>
      <c r="G37" s="34"/>
      <c r="H37" s="37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37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37"/>
      <c r="AH37" s="14"/>
      <c r="AI37" s="14"/>
      <c r="AJ37" s="14"/>
      <c r="AK37" s="14"/>
    </row>
    <row r="38" spans="1:37" s="2" customFormat="1" ht="15" customHeight="1">
      <c r="A38" s="23"/>
      <c r="B38" s="23"/>
      <c r="C38" s="23"/>
      <c r="D38" s="23"/>
      <c r="E38" s="23"/>
      <c r="F38" s="23"/>
      <c r="G38" s="34"/>
      <c r="H38" s="37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37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37"/>
      <c r="AH38" s="14"/>
      <c r="AI38" s="14"/>
      <c r="AJ38" s="14"/>
      <c r="AK38" s="14"/>
    </row>
    <row r="39" spans="1:37" s="2" customFormat="1" ht="15.75" customHeight="1">
      <c r="A39" s="23"/>
      <c r="B39" s="23"/>
      <c r="C39" s="23"/>
      <c r="D39" s="23"/>
      <c r="E39" s="23"/>
      <c r="F39" s="23"/>
      <c r="G39" s="34"/>
      <c r="H39" s="37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37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37"/>
      <c r="AH39" s="14"/>
      <c r="AI39" s="14"/>
      <c r="AJ39" s="14"/>
      <c r="AK39" s="14"/>
    </row>
    <row r="40" spans="1:37" s="2" customFormat="1" ht="25.5" customHeight="1">
      <c r="A40" s="23"/>
      <c r="B40" s="23"/>
      <c r="C40" s="23"/>
      <c r="D40" s="23"/>
      <c r="E40" s="23"/>
      <c r="F40" s="23"/>
      <c r="G40" s="34"/>
      <c r="H40" s="37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37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37"/>
      <c r="AH40" s="14"/>
      <c r="AI40" s="14"/>
      <c r="AJ40" s="14"/>
      <c r="AK40" s="14"/>
    </row>
    <row r="41" spans="1:37" s="1" customFormat="1" ht="12.75" customHeight="1">
      <c r="A41" s="4"/>
      <c r="B41" s="4"/>
      <c r="C41" s="4"/>
      <c r="D41" s="4"/>
      <c r="E41" s="4"/>
      <c r="F41" s="4"/>
      <c r="G41" s="25"/>
      <c r="H41" s="35"/>
      <c r="I41" s="5"/>
      <c r="J41" s="5"/>
      <c r="K41" s="5"/>
      <c r="L41" s="6"/>
      <c r="M41" s="6"/>
      <c r="N41" s="6"/>
      <c r="O41" s="6"/>
      <c r="P41" s="6"/>
      <c r="Q41" s="6"/>
      <c r="R41" s="6"/>
      <c r="S41" s="6"/>
      <c r="T41" s="6"/>
      <c r="U41" s="35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35"/>
    </row>
    <row r="42" spans="1:37" s="1" customFormat="1" ht="12.75" hidden="1" customHeight="1">
      <c r="A42" s="4"/>
      <c r="B42" s="4"/>
      <c r="C42" s="4"/>
      <c r="D42" s="4"/>
      <c r="E42" s="4"/>
      <c r="F42" s="4"/>
      <c r="G42" s="25"/>
      <c r="H42" s="35"/>
      <c r="I42" s="5"/>
      <c r="J42" s="5"/>
      <c r="K42" s="5"/>
      <c r="L42" s="6"/>
      <c r="M42" s="6"/>
      <c r="N42" s="6"/>
      <c r="O42" s="6"/>
      <c r="P42" s="6"/>
      <c r="Q42" s="6"/>
      <c r="R42" s="6"/>
      <c r="S42" s="6"/>
      <c r="T42" s="6"/>
      <c r="U42" s="35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35"/>
    </row>
    <row r="43" spans="1:37" s="1" customFormat="1">
      <c r="A43" s="4"/>
      <c r="B43" s="4"/>
      <c r="C43" s="4"/>
      <c r="D43" s="4"/>
      <c r="E43" s="4"/>
      <c r="F43" s="4"/>
      <c r="G43" s="25"/>
      <c r="H43" s="35"/>
      <c r="I43" s="5"/>
      <c r="J43" s="5"/>
      <c r="K43" s="5"/>
      <c r="L43" s="6"/>
      <c r="M43" s="6"/>
      <c r="N43" s="6"/>
      <c r="O43" s="6"/>
      <c r="P43" s="6"/>
      <c r="Q43" s="6"/>
      <c r="R43" s="6"/>
      <c r="S43" s="6"/>
      <c r="T43" s="6"/>
      <c r="U43" s="35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35"/>
    </row>
    <row r="44" spans="1:37" s="1" customFormat="1">
      <c r="A44" s="4"/>
      <c r="B44" s="4"/>
      <c r="C44" s="4"/>
      <c r="D44" s="4"/>
      <c r="E44" s="4"/>
      <c r="F44" s="4"/>
      <c r="G44" s="25"/>
      <c r="H44" s="35"/>
      <c r="I44" s="5"/>
      <c r="J44" s="5"/>
      <c r="K44" s="5"/>
      <c r="L44" s="6"/>
      <c r="M44" s="6"/>
      <c r="N44" s="6"/>
      <c r="O44" s="6"/>
      <c r="P44" s="6"/>
      <c r="Q44" s="6"/>
      <c r="R44" s="6"/>
      <c r="S44" s="6"/>
      <c r="T44" s="6"/>
      <c r="U44" s="35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35"/>
    </row>
    <row r="45" spans="1:37" s="1" customFormat="1">
      <c r="A45" s="4" t="s">
        <v>0</v>
      </c>
      <c r="B45" s="4">
        <v>12</v>
      </c>
      <c r="C45" s="4"/>
      <c r="D45" s="4"/>
      <c r="E45" s="4"/>
      <c r="F45" s="4"/>
      <c r="G45" s="25"/>
      <c r="H45" s="35"/>
      <c r="I45" s="5"/>
      <c r="J45" s="5"/>
      <c r="K45" s="5"/>
      <c r="L45" s="6"/>
      <c r="M45" s="6"/>
      <c r="N45" s="6"/>
      <c r="O45" s="6"/>
      <c r="P45" s="6"/>
      <c r="Q45" s="6"/>
      <c r="R45" s="6"/>
      <c r="S45" s="6"/>
      <c r="T45" s="6"/>
      <c r="U45" s="35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35"/>
    </row>
    <row r="46" spans="1:37" s="1" customFormat="1">
      <c r="A46" s="4"/>
      <c r="B46" s="4"/>
      <c r="C46" s="4"/>
      <c r="D46" s="4"/>
      <c r="E46" s="4"/>
      <c r="F46" s="4"/>
      <c r="G46" s="25"/>
      <c r="H46" s="35"/>
      <c r="I46" s="5"/>
      <c r="J46" s="5"/>
      <c r="K46" s="5"/>
      <c r="L46" s="6"/>
      <c r="M46" s="6"/>
      <c r="N46" s="6"/>
      <c r="O46" s="6"/>
      <c r="P46" s="6"/>
      <c r="Q46" s="6"/>
      <c r="R46" s="6"/>
      <c r="S46" s="6"/>
      <c r="T46" s="6"/>
      <c r="U46" s="35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35"/>
    </row>
  </sheetData>
  <mergeCells count="38">
    <mergeCell ref="AG7:AG8"/>
    <mergeCell ref="A1:G1"/>
    <mergeCell ref="A2:G2"/>
    <mergeCell ref="A3:G3"/>
    <mergeCell ref="A4:G4"/>
    <mergeCell ref="U7:U8"/>
    <mergeCell ref="A6:F8"/>
    <mergeCell ref="G7:G8"/>
    <mergeCell ref="G6:L6"/>
    <mergeCell ref="H7:H8"/>
    <mergeCell ref="A9:F9"/>
    <mergeCell ref="A25:F25"/>
    <mergeCell ref="A26:F26"/>
    <mergeCell ref="A36:F36"/>
    <mergeCell ref="A28:F28"/>
    <mergeCell ref="A29:F29"/>
    <mergeCell ref="A30:F30"/>
    <mergeCell ref="A33:F33"/>
    <mergeCell ref="A31:F31"/>
    <mergeCell ref="A32:F32"/>
    <mergeCell ref="A35:F35"/>
    <mergeCell ref="A24:F24"/>
    <mergeCell ref="A16:F16"/>
    <mergeCell ref="A17:F17"/>
    <mergeCell ref="A18:F18"/>
    <mergeCell ref="A19:F19"/>
    <mergeCell ref="A34:F34"/>
    <mergeCell ref="A15:F15"/>
    <mergeCell ref="A10:F10"/>
    <mergeCell ref="A11:F11"/>
    <mergeCell ref="A12:F12"/>
    <mergeCell ref="A13:F13"/>
    <mergeCell ref="A14:F14"/>
    <mergeCell ref="A27:F27"/>
    <mergeCell ref="A20:F20"/>
    <mergeCell ref="A21:F21"/>
    <mergeCell ref="A22:F22"/>
    <mergeCell ref="A23:F23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alekseevaiv2</cp:lastModifiedBy>
  <cp:lastPrinted>2016-10-14T12:14:29Z</cp:lastPrinted>
  <dcterms:created xsi:type="dcterms:W3CDTF">2013-04-24T10:34:01Z</dcterms:created>
  <dcterms:modified xsi:type="dcterms:W3CDTF">2016-10-14T12:14:32Z</dcterms:modified>
</cp:coreProperties>
</file>